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汇总表" sheetId="1" r:id="rId1"/>
    <sheet name="电子设备 " sheetId="2" r:id="rId2"/>
    <sheet name="机器设备" sheetId="3" r:id="rId3"/>
    <sheet name="家具用具" sheetId="4" r:id="rId4"/>
  </sheets>
  <definedNames>
    <definedName name="_xlnm._FilterDatabase" localSheetId="1" hidden="1">'电子设备 '!$A$6:$O$125</definedName>
    <definedName name="_xlnm._FilterDatabase" localSheetId="2" hidden="1">机器设备!$A$6:$O$53</definedName>
  </definedNames>
  <calcPr calcId="144525"/>
</workbook>
</file>

<file path=xl/sharedStrings.xml><?xml version="1.0" encoding="utf-8"?>
<sst xmlns="http://schemas.openxmlformats.org/spreadsheetml/2006/main" count="644" uniqueCount="389">
  <si>
    <t>表1</t>
  </si>
  <si>
    <t>资　产　评　估　结　果　汇　总　表</t>
  </si>
  <si>
    <t>评估基准日：2021年6月7日</t>
  </si>
  <si>
    <r>
      <rPr>
        <sz val="9"/>
        <rFont val="Times New Roman"/>
        <charset val="0"/>
      </rPr>
      <t xml:space="preserve">  </t>
    </r>
    <r>
      <rPr>
        <sz val="9"/>
        <rFont val="宋体"/>
        <charset val="0"/>
      </rPr>
      <t>资产占有单位名称：湖南科技学院</t>
    </r>
  </si>
  <si>
    <r>
      <rPr>
        <sz val="9"/>
        <rFont val="Times New Roman"/>
        <charset val="0"/>
      </rPr>
      <t xml:space="preserve">     </t>
    </r>
    <r>
      <rPr>
        <sz val="9"/>
        <rFont val="宋体"/>
        <charset val="134"/>
      </rPr>
      <t>金额单位：人民币元</t>
    </r>
  </si>
  <si>
    <t>项目</t>
  </si>
  <si>
    <t>账面价值</t>
  </si>
  <si>
    <t>评估价值</t>
  </si>
  <si>
    <t>增减值</t>
  </si>
  <si>
    <t>增值率（%）</t>
  </si>
  <si>
    <t>A</t>
  </si>
  <si>
    <t>C</t>
  </si>
  <si>
    <t>D=C-B</t>
  </si>
  <si>
    <t>E=(C-B)/B×100</t>
  </si>
  <si>
    <t>电子设备</t>
  </si>
  <si>
    <t>机器设备</t>
  </si>
  <si>
    <t>家具用具</t>
  </si>
  <si>
    <t>合计</t>
  </si>
  <si>
    <r>
      <rPr>
        <sz val="9"/>
        <rFont val="Times New Roman"/>
        <charset val="0"/>
      </rPr>
      <t xml:space="preserve">  </t>
    </r>
    <r>
      <rPr>
        <sz val="9"/>
        <rFont val="宋体"/>
        <charset val="0"/>
      </rPr>
      <t>评估机构：湖南永一资产评估有限公司</t>
    </r>
  </si>
  <si>
    <t>项目负责人：</t>
  </si>
  <si>
    <r>
      <rPr>
        <sz val="9"/>
        <rFont val="Times New Roman"/>
        <charset val="0"/>
      </rPr>
      <t xml:space="preserve">  </t>
    </r>
    <r>
      <rPr>
        <sz val="9"/>
        <rFont val="宋体"/>
        <charset val="134"/>
      </rPr>
      <t>法定代表人：</t>
    </r>
  </si>
  <si>
    <t>签字注册资产评估师：</t>
  </si>
  <si>
    <t>表5-2-3</t>
  </si>
  <si>
    <t>固定资产—电子设备清查评估明细表</t>
  </si>
  <si>
    <t>评估基准日：   2021年6月7日</t>
  </si>
  <si>
    <t>资产占有单位名称：湖南科技学院</t>
  </si>
  <si>
    <t xml:space="preserve">     金额单位：人民币元</t>
  </si>
  <si>
    <t>序</t>
  </si>
  <si>
    <t>设备</t>
  </si>
  <si>
    <t>设备名称</t>
  </si>
  <si>
    <t>规格型号</t>
  </si>
  <si>
    <t>生产</t>
  </si>
  <si>
    <t>计量</t>
  </si>
  <si>
    <t>购置</t>
  </si>
  <si>
    <t>数量</t>
  </si>
  <si>
    <t>增值</t>
  </si>
  <si>
    <t>备注</t>
  </si>
  <si>
    <t>号</t>
  </si>
  <si>
    <t>编号</t>
  </si>
  <si>
    <t>厂家</t>
  </si>
  <si>
    <t>单位</t>
  </si>
  <si>
    <t>日期</t>
  </si>
  <si>
    <t>原值</t>
  </si>
  <si>
    <t>净值</t>
  </si>
  <si>
    <t>成新率%</t>
  </si>
  <si>
    <t>率%</t>
  </si>
  <si>
    <t>标准投影仪</t>
  </si>
  <si>
    <t>优派PJD 5453S</t>
  </si>
  <si>
    <t>2015-11-16</t>
  </si>
  <si>
    <t>湖山音箱</t>
  </si>
  <si>
    <t>hushan</t>
  </si>
  <si>
    <t>电脑</t>
  </si>
  <si>
    <t>M710E</t>
  </si>
  <si>
    <t>2010-12-31</t>
  </si>
  <si>
    <t>投影机</t>
  </si>
  <si>
    <t>日立</t>
  </si>
  <si>
    <t>扩音设备</t>
  </si>
  <si>
    <t>湖山功放</t>
  </si>
  <si>
    <t>2010-08-31</t>
  </si>
  <si>
    <t>HP电脑</t>
  </si>
  <si>
    <t>HP carpaq</t>
  </si>
  <si>
    <t>交换机</t>
  </si>
  <si>
    <t>锐捷RG-S1</t>
  </si>
  <si>
    <t>计算机</t>
  </si>
  <si>
    <t>HPDX2818</t>
  </si>
  <si>
    <t>网编工作站</t>
  </si>
  <si>
    <t>HP 7900</t>
  </si>
  <si>
    <t>2009-12-28</t>
  </si>
  <si>
    <t>美国网件G</t>
  </si>
  <si>
    <t>2009-04-01</t>
  </si>
  <si>
    <t>联想扬天</t>
  </si>
  <si>
    <t>A6000V</t>
  </si>
  <si>
    <t>2008-08-01</t>
  </si>
  <si>
    <t>联想电脑</t>
  </si>
  <si>
    <t>联想扬天4</t>
  </si>
  <si>
    <t>2007-12-01</t>
  </si>
  <si>
    <t>120”电动幕布</t>
  </si>
  <si>
    <t>*</t>
  </si>
  <si>
    <t>2006-12-01</t>
  </si>
  <si>
    <t>戴尔电脑</t>
  </si>
  <si>
    <t>dell 210L</t>
  </si>
  <si>
    <t>2006-08-01</t>
  </si>
  <si>
    <t>数字影视制作电脑（配19WLCD）</t>
  </si>
  <si>
    <t>HP 2400 W</t>
  </si>
  <si>
    <t>机柜</t>
  </si>
  <si>
    <t>图腾1*0.6</t>
  </si>
  <si>
    <t>2010-01-31</t>
  </si>
  <si>
    <t>教师编辑工作站</t>
  </si>
  <si>
    <t>HP Z800</t>
  </si>
  <si>
    <t>惠普电脑</t>
  </si>
  <si>
    <t>2009-12-23</t>
  </si>
  <si>
    <t>功放</t>
  </si>
  <si>
    <t>湖山</t>
  </si>
  <si>
    <t>2013-08-19</t>
  </si>
  <si>
    <t>数字影视制作电脑</t>
  </si>
  <si>
    <t>HP 2600 W</t>
  </si>
  <si>
    <t>计算机网络布线及配件</t>
  </si>
  <si>
    <t>教师工作台</t>
  </si>
  <si>
    <t>教师主控台</t>
  </si>
  <si>
    <t>鑫洋华</t>
  </si>
  <si>
    <t>精致600*8</t>
  </si>
  <si>
    <t>2012-08-14</t>
  </si>
  <si>
    <t>Z5/1TB/8G</t>
  </si>
  <si>
    <t>2014-12-02</t>
  </si>
  <si>
    <t>4路切换器</t>
  </si>
  <si>
    <t>迈拓</t>
  </si>
  <si>
    <t>话盒耳麦</t>
  </si>
  <si>
    <t>好普</t>
  </si>
  <si>
    <t>智能一体机</t>
  </si>
  <si>
    <t>三汇UMCT-</t>
  </si>
  <si>
    <t>以太网交换机</t>
  </si>
  <si>
    <t>Dlink DFS</t>
  </si>
  <si>
    <t>智能预拨</t>
  </si>
  <si>
    <t>南康电访</t>
  </si>
  <si>
    <t>数据库服务器</t>
  </si>
  <si>
    <t>DellR710</t>
  </si>
  <si>
    <t>服务器</t>
  </si>
  <si>
    <t>HPZ800</t>
  </si>
  <si>
    <t>绘图板</t>
  </si>
  <si>
    <t>汉王创艺</t>
  </si>
  <si>
    <t>HP XW4600</t>
  </si>
  <si>
    <t>HPXW4600</t>
  </si>
  <si>
    <t>2009-03-01</t>
  </si>
  <si>
    <t>Lanshare网络存储系统</t>
  </si>
  <si>
    <t>Avid  Lar</t>
  </si>
  <si>
    <t>图腾42u</t>
  </si>
  <si>
    <t>精致</t>
  </si>
  <si>
    <t>联想扬天M</t>
  </si>
  <si>
    <t>2007-08-01</t>
  </si>
  <si>
    <t>打印机</t>
  </si>
  <si>
    <t>HP1010</t>
  </si>
  <si>
    <t>2004-12-01</t>
  </si>
  <si>
    <t>hp3030</t>
  </si>
  <si>
    <t>HP1150</t>
  </si>
  <si>
    <t>2004-08-01</t>
  </si>
  <si>
    <t>笔记本电脑</t>
  </si>
  <si>
    <t>联想Think</t>
  </si>
  <si>
    <t>2009-01-01</t>
  </si>
  <si>
    <t>移动硬盘</t>
  </si>
  <si>
    <t>旅之星60G</t>
  </si>
  <si>
    <t>已坏</t>
  </si>
  <si>
    <t>科龙空调</t>
  </si>
  <si>
    <t>KFR-35GW</t>
  </si>
  <si>
    <t>2007-03-01</t>
  </si>
  <si>
    <t>启天M2400</t>
  </si>
  <si>
    <t>开天M4800</t>
  </si>
  <si>
    <t>M4600</t>
  </si>
  <si>
    <t>PHILIPS VCD便携机</t>
  </si>
  <si>
    <t>5130</t>
  </si>
  <si>
    <t>2004-01-01</t>
  </si>
  <si>
    <t>方正颐和T</t>
  </si>
  <si>
    <t>2003-12-01</t>
  </si>
  <si>
    <t>空调</t>
  </si>
  <si>
    <t>KFR－71LW</t>
  </si>
  <si>
    <t>2002-12-01</t>
  </si>
  <si>
    <t>29 彩电</t>
  </si>
  <si>
    <t>2000-05-01</t>
  </si>
  <si>
    <t>彩色喷墨</t>
  </si>
  <si>
    <t>BJC-4310S</t>
  </si>
  <si>
    <t>1999-10-01</t>
  </si>
  <si>
    <t>音响功放</t>
  </si>
  <si>
    <t>易歌音箱+</t>
  </si>
  <si>
    <t>机房监控系统</t>
  </si>
  <si>
    <t>英普松</t>
  </si>
  <si>
    <t>2008-10-01</t>
  </si>
  <si>
    <t>台式电脑</t>
  </si>
  <si>
    <t>HPdx2818</t>
  </si>
  <si>
    <t>HPdx2318</t>
  </si>
  <si>
    <t>交换机柜</t>
  </si>
  <si>
    <t>三菱1.2*0</t>
  </si>
  <si>
    <t>扫描仪</t>
  </si>
  <si>
    <t>中晶9700X</t>
  </si>
  <si>
    <t>HP DX2318</t>
  </si>
  <si>
    <t>投影仪</t>
  </si>
  <si>
    <t>奥图码DX6</t>
  </si>
  <si>
    <t>国产动态GPS接收机</t>
  </si>
  <si>
    <t>华测X91</t>
  </si>
  <si>
    <t>曙光天阔</t>
  </si>
  <si>
    <t>HP CQ45-2</t>
  </si>
  <si>
    <t>PP38L</t>
  </si>
  <si>
    <t>2009-02-01</t>
  </si>
  <si>
    <t>无线鼠标</t>
  </si>
  <si>
    <t>育通</t>
  </si>
  <si>
    <t>2008-12-01</t>
  </si>
  <si>
    <t>教师控制台</t>
  </si>
  <si>
    <t>LBS-J01A</t>
  </si>
  <si>
    <t>兄弟7057</t>
  </si>
  <si>
    <t>2015-03-10</t>
  </si>
  <si>
    <t>品牌商用电脑</t>
  </si>
  <si>
    <t>惠普</t>
  </si>
  <si>
    <t>2012-03-07</t>
  </si>
  <si>
    <t>联想启天M710E</t>
  </si>
  <si>
    <t>联想F310S</t>
  </si>
  <si>
    <t>2014-12-31</t>
  </si>
  <si>
    <t>刀锋2500</t>
  </si>
  <si>
    <t>硬盘</t>
  </si>
  <si>
    <t>三星</t>
  </si>
  <si>
    <t>传神辅助翻译</t>
  </si>
  <si>
    <t>平台系统V2.0</t>
  </si>
  <si>
    <t>红外摄像机</t>
  </si>
  <si>
    <t>监控摄像头文清700线</t>
  </si>
  <si>
    <t>2012-12-31</t>
  </si>
  <si>
    <t>录像机</t>
  </si>
  <si>
    <t>共享器</t>
  </si>
  <si>
    <t>两路</t>
  </si>
  <si>
    <t>系统管理软件</t>
  </si>
  <si>
    <t>LBD033S</t>
  </si>
  <si>
    <t>高级语言终端</t>
  </si>
  <si>
    <t>LBD0330</t>
  </si>
  <si>
    <t>多媒体语音卡</t>
  </si>
  <si>
    <t>LBD203F</t>
  </si>
  <si>
    <t>录音卡座</t>
  </si>
  <si>
    <t>somy TOWE</t>
  </si>
  <si>
    <t>语言交换机</t>
  </si>
  <si>
    <t>LBD208B</t>
  </si>
  <si>
    <t>网络交换</t>
  </si>
  <si>
    <t>DES-3550</t>
  </si>
  <si>
    <t>教师显示器</t>
  </si>
  <si>
    <t>联想</t>
  </si>
  <si>
    <t>01*3080</t>
  </si>
  <si>
    <t>语言学习服务器</t>
  </si>
  <si>
    <t>万全T260</t>
  </si>
  <si>
    <t>操作管理主机</t>
  </si>
  <si>
    <t>启天M690E</t>
  </si>
  <si>
    <t>交换机（视频）</t>
  </si>
  <si>
    <t>SUF143A2TT</t>
  </si>
  <si>
    <t>2014-08-31</t>
  </si>
  <si>
    <t>2017-12-25</t>
  </si>
  <si>
    <t>三星打印机</t>
  </si>
  <si>
    <t>三星565PR</t>
  </si>
  <si>
    <t>合成器</t>
  </si>
  <si>
    <t>YAMAHA</t>
  </si>
  <si>
    <t>2006-03-01</t>
  </si>
  <si>
    <t>麦克风声学优化隔板</t>
  </si>
  <si>
    <t>SM PROAVD</t>
  </si>
  <si>
    <t>KFR-75LW</t>
  </si>
  <si>
    <t>2006-09-01</t>
  </si>
  <si>
    <t>商用电脑</t>
  </si>
  <si>
    <t>*M4600</t>
  </si>
  <si>
    <t>2005-08-01</t>
  </si>
  <si>
    <t>天瑞3030</t>
  </si>
  <si>
    <t>扬天M4000</t>
  </si>
  <si>
    <t>2003-11-01</t>
  </si>
  <si>
    <t>长虹彩色</t>
  </si>
  <si>
    <t>29</t>
  </si>
  <si>
    <t>2003-01-01</t>
  </si>
  <si>
    <t>长虹彩色电视机</t>
  </si>
  <si>
    <t>21</t>
  </si>
  <si>
    <t>彩色电视</t>
  </si>
  <si>
    <t>长虹彩电</t>
  </si>
  <si>
    <t>2001-09-01</t>
  </si>
  <si>
    <t>聂耳钢琴</t>
  </si>
  <si>
    <t>108键</t>
  </si>
  <si>
    <t>1997-11-01</t>
  </si>
  <si>
    <t>华宝空调</t>
  </si>
  <si>
    <t>KFR-71LW/</t>
  </si>
  <si>
    <t>2001-06-01</t>
  </si>
  <si>
    <t>爱普生EB-</t>
  </si>
  <si>
    <t>幕布</t>
  </si>
  <si>
    <t>绿叶120寸</t>
  </si>
  <si>
    <t>2015-04-20</t>
  </si>
  <si>
    <t>领夹无线话筒</t>
  </si>
  <si>
    <t>美国SHVRE</t>
  </si>
  <si>
    <t>2011-12-19</t>
  </si>
  <si>
    <t>合唱话筒</t>
  </si>
  <si>
    <t>MXL550/55</t>
  </si>
  <si>
    <t>PE-3250A</t>
  </si>
  <si>
    <t>学生工作站</t>
  </si>
  <si>
    <t>CME P4000</t>
  </si>
  <si>
    <t>激光打印机</t>
  </si>
  <si>
    <t>HP1150（1106）</t>
  </si>
  <si>
    <t>萨克斯</t>
  </si>
  <si>
    <t>BB调</t>
  </si>
  <si>
    <t xml:space="preserve">  资产占有单位填表人：</t>
  </si>
  <si>
    <t>评估人员：黄志雄  袁志刚</t>
  </si>
  <si>
    <t xml:space="preserve"> 填表日期： 2021年6月9日</t>
  </si>
  <si>
    <t>锅炉</t>
  </si>
  <si>
    <t>LSG0.5-0.</t>
  </si>
  <si>
    <t>2009-12-29</t>
  </si>
  <si>
    <t>全站仪</t>
  </si>
  <si>
    <t>KTS712</t>
  </si>
  <si>
    <t>2007-07-01</t>
  </si>
  <si>
    <t>水准仪</t>
  </si>
  <si>
    <t>DS3(微倾</t>
  </si>
  <si>
    <t>蜡含量仪</t>
  </si>
  <si>
    <t>CXS-10</t>
  </si>
  <si>
    <t>马歇尔电动击实仪</t>
  </si>
  <si>
    <t>LJS-11</t>
  </si>
  <si>
    <t>电子拉力试验机</t>
  </si>
  <si>
    <t>BL</t>
  </si>
  <si>
    <t>防水卷材不透水仪</t>
  </si>
  <si>
    <t>BH</t>
  </si>
  <si>
    <t>混凝土振动台</t>
  </si>
  <si>
    <t>IHJ-A</t>
  </si>
  <si>
    <t>低温试验箱</t>
  </si>
  <si>
    <t>D</t>
  </si>
  <si>
    <t>抗渗试模</t>
  </si>
  <si>
    <t>150*175*1</t>
  </si>
  <si>
    <t>标准恒温恒湿养护箱</t>
  </si>
  <si>
    <t>YH</t>
  </si>
  <si>
    <t>水泥胶砂振动台</t>
  </si>
  <si>
    <t>GZ</t>
  </si>
  <si>
    <t>水泥净浆搅拌仪</t>
  </si>
  <si>
    <t>NT</t>
  </si>
  <si>
    <t>水泥胶砂搅拌仪</t>
  </si>
  <si>
    <t>JJ</t>
  </si>
  <si>
    <t>水泥细度负压筛析仪</t>
  </si>
  <si>
    <t>FSY</t>
  </si>
  <si>
    <t>切砖机</t>
  </si>
  <si>
    <t>QZ</t>
  </si>
  <si>
    <t>沥青混合料材料性能试验系统</t>
  </si>
  <si>
    <t>LMT-3</t>
  </si>
  <si>
    <t>沥青混合料车辙试验系统</t>
  </si>
  <si>
    <t>LLN-3</t>
  </si>
  <si>
    <t>维勃稠度仪</t>
  </si>
  <si>
    <t>HYG</t>
  </si>
  <si>
    <t>砂浆搅拌机</t>
  </si>
  <si>
    <t>UJZ</t>
  </si>
  <si>
    <t>混凝土收缩膨胀缩仪</t>
  </si>
  <si>
    <t>SP</t>
  </si>
  <si>
    <t>水泥胶砂流动度测定仪</t>
  </si>
  <si>
    <t>NLD</t>
  </si>
  <si>
    <t>电动勃氏透气比表面仪</t>
  </si>
  <si>
    <t>DBT</t>
  </si>
  <si>
    <t>沸煮箱</t>
  </si>
  <si>
    <t>FZ</t>
  </si>
  <si>
    <t>钢筋弯曲机</t>
  </si>
  <si>
    <t>GW</t>
  </si>
  <si>
    <t>数字式砖瓦抗折试验机</t>
  </si>
  <si>
    <t>DZE</t>
  </si>
  <si>
    <t>电动脱模器</t>
  </si>
  <si>
    <t>DTM-150</t>
  </si>
  <si>
    <t>2009-04-26</t>
  </si>
  <si>
    <t>砂浴电炉</t>
  </si>
  <si>
    <t>DS101</t>
  </si>
  <si>
    <t>2009-03-26</t>
  </si>
  <si>
    <t>电热恒温水浴锅</t>
  </si>
  <si>
    <t>DK-S26</t>
  </si>
  <si>
    <t>真空饱水容器</t>
  </si>
  <si>
    <t>75-D1122/A</t>
  </si>
  <si>
    <t>沥青动力粘度试验器</t>
  </si>
  <si>
    <t>SYD-0620A</t>
  </si>
  <si>
    <t>自动恒温沥青标准粘度仪</t>
  </si>
  <si>
    <t>LZN-1</t>
  </si>
  <si>
    <t>全自动沥青混合料拌合机</t>
  </si>
  <si>
    <t>SLHB-1I</t>
  </si>
  <si>
    <t>离心式沥青抽提仪</t>
  </si>
  <si>
    <t>LLC-15</t>
  </si>
  <si>
    <t>自动低温数显延伸度仪</t>
  </si>
  <si>
    <t>LXS-3</t>
  </si>
  <si>
    <t>电脑全自动沥青闪燃仪</t>
  </si>
  <si>
    <t>LSR-2</t>
  </si>
  <si>
    <t>马歇尔稳定度试验系统</t>
  </si>
  <si>
    <t>LMS-3</t>
  </si>
  <si>
    <t>电脑沥青针入度测定仪</t>
  </si>
  <si>
    <t>SYD-2801C</t>
  </si>
  <si>
    <t>电脑沥青软化点测定仪</t>
  </si>
  <si>
    <t>SYD-2806F</t>
  </si>
  <si>
    <t>低温针入度试验器</t>
  </si>
  <si>
    <t>低温恒温水浴</t>
  </si>
  <si>
    <t>HWY-20</t>
  </si>
  <si>
    <t>沥青旋转薄膜烘箱</t>
  </si>
  <si>
    <t>85型</t>
  </si>
  <si>
    <t>创展雪花机</t>
  </si>
  <si>
    <t>创展泡泡机</t>
  </si>
  <si>
    <t>吸尘器</t>
  </si>
  <si>
    <t>美的</t>
  </si>
  <si>
    <t>2012-08-15</t>
  </si>
  <si>
    <t>本页小计</t>
  </si>
  <si>
    <t>资产占有单位名称：</t>
  </si>
  <si>
    <t>双人电脑桌</t>
  </si>
  <si>
    <t>张</t>
  </si>
  <si>
    <t>2011-12-01</t>
  </si>
  <si>
    <t>学生网编操作台</t>
  </si>
  <si>
    <t>办公椅</t>
  </si>
  <si>
    <t>把</t>
  </si>
  <si>
    <t>2015-12-31</t>
  </si>
  <si>
    <t>三门书柜</t>
  </si>
  <si>
    <t>件</t>
  </si>
  <si>
    <t>2004-03-01</t>
  </si>
  <si>
    <t>绿板</t>
  </si>
  <si>
    <t>190*90</t>
  </si>
  <si>
    <t>块</t>
  </si>
  <si>
    <t>白板</t>
  </si>
  <si>
    <t>定制</t>
  </si>
  <si>
    <t>2016-01-06</t>
  </si>
  <si>
    <t>展示台</t>
  </si>
  <si>
    <t>8100</t>
  </si>
  <si>
    <t>个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</si>
</sst>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32">
    <font>
      <sz val="12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b/>
      <sz val="10"/>
      <name val="宋体"/>
      <charset val="134"/>
    </font>
    <font>
      <sz val="7"/>
      <name val="宋体"/>
      <charset val="134"/>
    </font>
    <font>
      <sz val="16"/>
      <name val="黑体"/>
      <charset val="134"/>
    </font>
    <font>
      <sz val="9"/>
      <name val="Times New Roman"/>
      <charset val="0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2" borderId="13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19" borderId="16" applyNumberFormat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8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0" fontId="3" fillId="0" borderId="3" xfId="0" applyNumberFormat="1" applyFont="1" applyFill="1" applyBorder="1" applyAlignment="1">
      <alignment vertical="center"/>
    </xf>
    <xf numFmtId="176" fontId="3" fillId="0" borderId="3" xfId="0" applyNumberFormat="1" applyFont="1" applyFill="1" applyBorder="1" applyAlignment="1">
      <alignment vertical="center"/>
    </xf>
    <xf numFmtId="9" fontId="3" fillId="0" borderId="3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40" fontId="3" fillId="0" borderId="3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9" fontId="3" fillId="0" borderId="3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0" fontId="5" fillId="0" borderId="3" xfId="0" applyFont="1" applyFill="1" applyBorder="1" applyAlignment="1">
      <alignment vertical="center"/>
    </xf>
    <xf numFmtId="49" fontId="6" fillId="0" borderId="4" xfId="0" applyNumberFormat="1" applyFont="1" applyFill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40" fontId="5" fillId="0" borderId="3" xfId="0" applyNumberFormat="1" applyFont="1" applyFill="1" applyBorder="1" applyAlignment="1">
      <alignment vertical="center"/>
    </xf>
    <xf numFmtId="176" fontId="5" fillId="0" borderId="3" xfId="0" applyNumberFormat="1" applyFont="1" applyFill="1" applyBorder="1" applyAlignment="1">
      <alignment vertical="center"/>
    </xf>
    <xf numFmtId="40" fontId="3" fillId="0" borderId="3" xfId="0" applyNumberFormat="1" applyFont="1" applyBorder="1" applyAlignment="1">
      <alignment horizontal="center" vertical="center"/>
    </xf>
    <xf numFmtId="40" fontId="8" fillId="0" borderId="3" xfId="0" applyNumberFormat="1" applyFont="1" applyBorder="1" applyAlignment="1">
      <alignment vertical="center"/>
    </xf>
    <xf numFmtId="176" fontId="1" fillId="0" borderId="0" xfId="0" applyNumberFormat="1" applyFont="1" applyAlignment="1">
      <alignment horizontal="right" vertical="center"/>
    </xf>
    <xf numFmtId="176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4" fillId="0" borderId="7" xfId="0" applyNumberFormat="1" applyFont="1" applyFill="1" applyBorder="1" applyAlignment="1">
      <alignment vertical="center"/>
    </xf>
    <xf numFmtId="49" fontId="4" fillId="0" borderId="8" xfId="0" applyNumberFormat="1" applyFont="1" applyFill="1" applyBorder="1" applyAlignment="1">
      <alignment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/>
    </xf>
    <xf numFmtId="176" fontId="3" fillId="0" borderId="3" xfId="0" applyNumberFormat="1" applyFont="1" applyFill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right" vertical="center"/>
    </xf>
    <xf numFmtId="9" fontId="3" fillId="0" borderId="3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76" fontId="1" fillId="0" borderId="3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zoomScaleSheetLayoutView="60" workbookViewId="0">
      <selection activeCell="E16" sqref="E16"/>
    </sheetView>
  </sheetViews>
  <sheetFormatPr defaultColWidth="8.66666666666667" defaultRowHeight="20.1" customHeight="1" outlineLevelCol="5"/>
  <cols>
    <col min="1" max="1" width="27.6" style="74" customWidth="1"/>
    <col min="2" max="2" width="6.6" style="74" customWidth="1"/>
    <col min="3" max="6" width="18.6" style="74" customWidth="1"/>
    <col min="7" max="31" width="9" style="74" customWidth="1"/>
    <col min="32" max="16383" width="8.66666666666667" style="74" customWidth="1"/>
  </cols>
  <sheetData>
    <row r="1" customHeight="1" spans="1:1">
      <c r="A1" s="72" t="s">
        <v>0</v>
      </c>
    </row>
    <row r="2" ht="24" customHeight="1" spans="1:6">
      <c r="A2" s="75" t="s">
        <v>1</v>
      </c>
      <c r="B2" s="75"/>
      <c r="C2" s="75"/>
      <c r="D2" s="75"/>
      <c r="E2" s="75"/>
      <c r="F2" s="75"/>
    </row>
    <row r="3" ht="24" customHeight="1" spans="1:6">
      <c r="A3" s="75"/>
      <c r="B3" s="75"/>
      <c r="C3" s="75"/>
      <c r="D3" s="75"/>
      <c r="E3" s="75"/>
      <c r="F3" s="75"/>
    </row>
    <row r="4" s="72" customFormat="1" customHeight="1" spans="1:6">
      <c r="A4" s="73" t="s">
        <v>2</v>
      </c>
      <c r="B4" s="73"/>
      <c r="C4" s="73"/>
      <c r="D4" s="73"/>
      <c r="E4" s="73"/>
      <c r="F4" s="73"/>
    </row>
    <row r="5" s="72" customFormat="1" customHeight="1" spans="1:6">
      <c r="A5" s="76" t="s">
        <v>3</v>
      </c>
      <c r="F5" s="76" t="s">
        <v>4</v>
      </c>
    </row>
    <row r="6" s="73" customFormat="1" customHeight="1" spans="1:6">
      <c r="A6" s="77" t="s">
        <v>5</v>
      </c>
      <c r="B6" s="78"/>
      <c r="C6" s="63" t="s">
        <v>6</v>
      </c>
      <c r="D6" s="63" t="s">
        <v>7</v>
      </c>
      <c r="E6" s="63" t="s">
        <v>8</v>
      </c>
      <c r="F6" s="63" t="s">
        <v>9</v>
      </c>
    </row>
    <row r="7" s="72" customFormat="1" customHeight="1" spans="1:6">
      <c r="A7" s="79"/>
      <c r="B7" s="80"/>
      <c r="C7" s="63" t="s">
        <v>10</v>
      </c>
      <c r="D7" s="63" t="s">
        <v>11</v>
      </c>
      <c r="E7" s="63" t="s">
        <v>12</v>
      </c>
      <c r="F7" s="63" t="s">
        <v>13</v>
      </c>
    </row>
    <row r="8" s="72" customFormat="1" ht="36" customHeight="1" spans="1:6">
      <c r="A8" s="81" t="s">
        <v>14</v>
      </c>
      <c r="B8" s="63">
        <v>1</v>
      </c>
      <c r="C8" s="82">
        <f>'电子设备 '!I124</f>
        <v>3856230.96</v>
      </c>
      <c r="D8" s="82">
        <f>'电子设备 '!M124</f>
        <v>57581.8</v>
      </c>
      <c r="E8" s="81"/>
      <c r="F8" s="81"/>
    </row>
    <row r="9" s="72" customFormat="1" ht="36" customHeight="1" spans="1:6">
      <c r="A9" s="81" t="s">
        <v>15</v>
      </c>
      <c r="B9" s="63">
        <v>2</v>
      </c>
      <c r="C9" s="82">
        <f>机器设备!I52</f>
        <v>936800</v>
      </c>
      <c r="D9" s="82">
        <f>机器设备!M52</f>
        <v>23301.3</v>
      </c>
      <c r="E9" s="81"/>
      <c r="F9" s="81"/>
    </row>
    <row r="10" s="72" customFormat="1" ht="36" customHeight="1" spans="1:6">
      <c r="A10" s="81" t="s">
        <v>16</v>
      </c>
      <c r="B10" s="63">
        <v>3</v>
      </c>
      <c r="C10" s="82">
        <f>家具用具!I15</f>
        <v>19710</v>
      </c>
      <c r="D10" s="82">
        <f>家具用具!M15</f>
        <v>952</v>
      </c>
      <c r="E10" s="81"/>
      <c r="F10" s="81"/>
    </row>
    <row r="11" s="72" customFormat="1" ht="32" customHeight="1" spans="1:6">
      <c r="A11" s="63" t="s">
        <v>17</v>
      </c>
      <c r="B11" s="63"/>
      <c r="C11" s="82">
        <f>SUM(C8:C10)</f>
        <v>4812740.96</v>
      </c>
      <c r="D11" s="82">
        <f>SUM(D8:D10)</f>
        <v>81835.1</v>
      </c>
      <c r="E11" s="81"/>
      <c r="F11" s="81"/>
    </row>
    <row r="12" s="72" customFormat="1" customHeight="1" spans="1:5">
      <c r="A12" s="76" t="s">
        <v>18</v>
      </c>
      <c r="E12" s="72" t="s">
        <v>19</v>
      </c>
    </row>
    <row r="13" s="72" customFormat="1" customHeight="1" spans="1:5">
      <c r="A13" s="76" t="s">
        <v>20</v>
      </c>
      <c r="E13" s="72" t="s">
        <v>21</v>
      </c>
    </row>
  </sheetData>
  <mergeCells count="3">
    <mergeCell ref="A2:F2"/>
    <mergeCell ref="A4:F4"/>
    <mergeCell ref="A6:B7"/>
  </mergeCells>
  <printOptions horizontalCentered="1"/>
  <pageMargins left="0.354166666666667" right="0.196527777777778" top="0.984027777777778" bottom="0.590277777777778" header="0.511805555555556" footer="0.511805555555556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125"/>
  <sheetViews>
    <sheetView zoomScale="85" zoomScaleNormal="85" zoomScaleSheetLayoutView="60" topLeftCell="A82" workbookViewId="0">
      <selection activeCell="Q92" sqref="Q92"/>
    </sheetView>
  </sheetViews>
  <sheetFormatPr defaultColWidth="9" defaultRowHeight="20.4" customHeight="1"/>
  <cols>
    <col min="1" max="1" width="5.975" style="3" customWidth="1"/>
    <col min="2" max="2" width="5.9" style="3" customWidth="1"/>
    <col min="3" max="3" width="21.275" style="3" customWidth="1"/>
    <col min="4" max="4" width="13.425" style="3" customWidth="1"/>
    <col min="5" max="5" width="4.9" style="3" customWidth="1"/>
    <col min="6" max="6" width="3.7" style="3" customWidth="1"/>
    <col min="7" max="7" width="11.4666666666667" style="3" customWidth="1"/>
    <col min="8" max="8" width="5.5" style="3" customWidth="1"/>
    <col min="9" max="9" width="12.15" style="31" customWidth="1"/>
    <col min="10" max="10" width="9.6" style="3" customWidth="1"/>
    <col min="11" max="11" width="11.5583333333333" style="51" customWidth="1"/>
    <col min="12" max="12" width="9.50833333333333" style="52" customWidth="1"/>
    <col min="13" max="13" width="11.6" style="51" customWidth="1"/>
    <col min="14" max="14" width="3.6" style="3" customWidth="1"/>
    <col min="15" max="15" width="14.6" style="3" customWidth="1"/>
    <col min="16" max="254" width="9" style="3" customWidth="1"/>
  </cols>
  <sheetData>
    <row r="1" customHeight="1" spans="1:1">
      <c r="A1" s="3" t="s">
        <v>22</v>
      </c>
    </row>
    <row r="2" customHeight="1" spans="1:15">
      <c r="A2" s="4" t="s">
        <v>23</v>
      </c>
      <c r="B2" s="4"/>
      <c r="C2" s="4"/>
      <c r="D2" s="4"/>
      <c r="E2" s="4"/>
      <c r="F2" s="4"/>
      <c r="G2" s="4"/>
      <c r="H2" s="4"/>
      <c r="I2" s="41"/>
      <c r="J2" s="4"/>
      <c r="K2" s="56"/>
      <c r="L2" s="57"/>
      <c r="M2" s="56"/>
      <c r="N2" s="4"/>
      <c r="O2" s="4"/>
    </row>
    <row r="3" customHeight="1" spans="1:15">
      <c r="A3" s="1" t="s">
        <v>24</v>
      </c>
      <c r="B3" s="1"/>
      <c r="C3" s="1"/>
      <c r="D3" s="1"/>
      <c r="E3" s="1"/>
      <c r="F3" s="1"/>
      <c r="G3" s="1"/>
      <c r="H3" s="1"/>
      <c r="I3" s="41"/>
      <c r="J3" s="1"/>
      <c r="K3" s="58"/>
      <c r="M3" s="58"/>
      <c r="N3" s="1"/>
      <c r="O3" s="1"/>
    </row>
    <row r="4" customHeight="1" spans="1:14">
      <c r="A4" s="3" t="s">
        <v>25</v>
      </c>
      <c r="N4" s="3" t="s">
        <v>26</v>
      </c>
    </row>
    <row r="5" s="1" customFormat="1" customHeight="1" spans="1:15">
      <c r="A5" s="5" t="s">
        <v>27</v>
      </c>
      <c r="B5" s="5" t="s">
        <v>28</v>
      </c>
      <c r="C5" s="5" t="s">
        <v>29</v>
      </c>
      <c r="D5" s="5" t="s">
        <v>30</v>
      </c>
      <c r="E5" s="5" t="s">
        <v>31</v>
      </c>
      <c r="F5" s="5" t="s">
        <v>32</v>
      </c>
      <c r="G5" s="5" t="s">
        <v>33</v>
      </c>
      <c r="H5" s="5" t="s">
        <v>34</v>
      </c>
      <c r="I5" s="14" t="s">
        <v>6</v>
      </c>
      <c r="J5" s="18"/>
      <c r="K5" s="59" t="s">
        <v>7</v>
      </c>
      <c r="L5" s="60"/>
      <c r="M5" s="61"/>
      <c r="N5" s="5" t="s">
        <v>35</v>
      </c>
      <c r="O5" s="5" t="s">
        <v>36</v>
      </c>
    </row>
    <row r="6" s="1" customFormat="1" customHeight="1" spans="1:15">
      <c r="A6" s="6" t="s">
        <v>37</v>
      </c>
      <c r="B6" s="6" t="s">
        <v>38</v>
      </c>
      <c r="C6" s="6"/>
      <c r="D6" s="6"/>
      <c r="E6" s="6" t="s">
        <v>39</v>
      </c>
      <c r="F6" s="6" t="s">
        <v>40</v>
      </c>
      <c r="G6" s="6" t="s">
        <v>41</v>
      </c>
      <c r="H6" s="6"/>
      <c r="I6" s="12" t="s">
        <v>42</v>
      </c>
      <c r="J6" s="20" t="s">
        <v>43</v>
      </c>
      <c r="K6" s="62" t="s">
        <v>42</v>
      </c>
      <c r="L6" s="63" t="s">
        <v>44</v>
      </c>
      <c r="M6" s="62" t="s">
        <v>43</v>
      </c>
      <c r="N6" s="6" t="s">
        <v>45</v>
      </c>
      <c r="O6" s="6"/>
    </row>
    <row r="7" s="41" customFormat="1" customHeight="1" spans="1:254">
      <c r="A7" s="53">
        <v>1</v>
      </c>
      <c r="B7" s="53"/>
      <c r="C7" s="54" t="s">
        <v>46</v>
      </c>
      <c r="D7" s="55" t="s">
        <v>47</v>
      </c>
      <c r="E7" s="53"/>
      <c r="F7" s="53"/>
      <c r="G7" s="54" t="s">
        <v>48</v>
      </c>
      <c r="H7" s="53">
        <v>1</v>
      </c>
      <c r="I7" s="64">
        <v>6000</v>
      </c>
      <c r="J7" s="12"/>
      <c r="K7" s="65">
        <v>5400</v>
      </c>
      <c r="L7" s="66">
        <v>0.03</v>
      </c>
      <c r="M7" s="67">
        <f>K7*L7</f>
        <v>162</v>
      </c>
      <c r="N7" s="53"/>
      <c r="O7" s="53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</row>
    <row r="8" s="41" customFormat="1" customHeight="1" spans="1:254">
      <c r="A8" s="53">
        <v>2</v>
      </c>
      <c r="B8" s="53"/>
      <c r="C8" s="9" t="s">
        <v>49</v>
      </c>
      <c r="D8" s="13" t="s">
        <v>50</v>
      </c>
      <c r="E8" s="53"/>
      <c r="F8" s="53"/>
      <c r="G8" s="9" t="s">
        <v>48</v>
      </c>
      <c r="H8" s="12">
        <v>1</v>
      </c>
      <c r="I8" s="68">
        <v>350</v>
      </c>
      <c r="J8" s="12"/>
      <c r="K8" s="65">
        <v>300</v>
      </c>
      <c r="L8" s="66">
        <v>0.03</v>
      </c>
      <c r="M8" s="67">
        <f t="shared" ref="M8:M39" si="0">K8*L8</f>
        <v>9</v>
      </c>
      <c r="N8" s="53"/>
      <c r="O8" s="53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</row>
    <row r="9" s="41" customFormat="1" customHeight="1" spans="1:254">
      <c r="A9" s="53">
        <v>3</v>
      </c>
      <c r="B9" s="53"/>
      <c r="C9" s="9" t="s">
        <v>51</v>
      </c>
      <c r="D9" s="13" t="s">
        <v>52</v>
      </c>
      <c r="E9" s="53"/>
      <c r="F9" s="53"/>
      <c r="G9" s="9" t="s">
        <v>53</v>
      </c>
      <c r="H9" s="12">
        <v>48</v>
      </c>
      <c r="I9" s="68">
        <f>3332*48</f>
        <v>159936</v>
      </c>
      <c r="J9" s="12"/>
      <c r="K9" s="65">
        <f>2700*H9</f>
        <v>129600</v>
      </c>
      <c r="L9" s="66">
        <v>0.03</v>
      </c>
      <c r="M9" s="67">
        <f t="shared" si="0"/>
        <v>3888</v>
      </c>
      <c r="N9" s="53"/>
      <c r="O9" s="53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31"/>
      <c r="HM9" s="31"/>
      <c r="HN9" s="31"/>
      <c r="HO9" s="31"/>
      <c r="HP9" s="31"/>
      <c r="HQ9" s="31"/>
      <c r="HR9" s="31"/>
      <c r="HS9" s="31"/>
      <c r="HT9" s="31"/>
      <c r="HU9" s="31"/>
      <c r="HV9" s="31"/>
      <c r="HW9" s="31"/>
      <c r="HX9" s="31"/>
      <c r="HY9" s="31"/>
      <c r="HZ9" s="31"/>
      <c r="IA9" s="31"/>
      <c r="IB9" s="31"/>
      <c r="IC9" s="31"/>
      <c r="ID9" s="31"/>
      <c r="IE9" s="31"/>
      <c r="IF9" s="31"/>
      <c r="IG9" s="31"/>
      <c r="IH9" s="31"/>
      <c r="II9" s="31"/>
      <c r="IJ9" s="31"/>
      <c r="IK9" s="31"/>
      <c r="IL9" s="31"/>
      <c r="IM9" s="31"/>
      <c r="IN9" s="31"/>
      <c r="IO9" s="31"/>
      <c r="IP9" s="31"/>
      <c r="IQ9" s="31"/>
      <c r="IR9" s="31"/>
      <c r="IS9" s="31"/>
      <c r="IT9" s="31"/>
    </row>
    <row r="10" s="41" customFormat="1" customHeight="1" spans="1:254">
      <c r="A10" s="53">
        <v>4</v>
      </c>
      <c r="B10" s="53"/>
      <c r="C10" s="9" t="s">
        <v>54</v>
      </c>
      <c r="D10" s="13" t="s">
        <v>55</v>
      </c>
      <c r="E10" s="53"/>
      <c r="F10" s="53"/>
      <c r="G10" s="9" t="s">
        <v>53</v>
      </c>
      <c r="H10" s="12">
        <v>2</v>
      </c>
      <c r="I10" s="68">
        <f>5500*2</f>
        <v>11000</v>
      </c>
      <c r="J10" s="12"/>
      <c r="K10" s="65">
        <f>4300*2</f>
        <v>8600</v>
      </c>
      <c r="L10" s="66">
        <v>0.03</v>
      </c>
      <c r="M10" s="67">
        <f t="shared" si="0"/>
        <v>258</v>
      </c>
      <c r="N10" s="53"/>
      <c r="O10" s="53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</row>
    <row r="11" s="41" customFormat="1" customHeight="1" spans="1:254">
      <c r="A11" s="53">
        <v>5</v>
      </c>
      <c r="B11" s="53"/>
      <c r="C11" s="9" t="s">
        <v>56</v>
      </c>
      <c r="D11" s="13" t="s">
        <v>57</v>
      </c>
      <c r="E11" s="53"/>
      <c r="F11" s="53"/>
      <c r="G11" s="9" t="s">
        <v>58</v>
      </c>
      <c r="H11" s="12">
        <v>1</v>
      </c>
      <c r="I11" s="68">
        <v>3800</v>
      </c>
      <c r="J11" s="12"/>
      <c r="K11" s="65">
        <v>2500</v>
      </c>
      <c r="L11" s="66">
        <v>0.03</v>
      </c>
      <c r="M11" s="67">
        <f t="shared" si="0"/>
        <v>75</v>
      </c>
      <c r="N11" s="53"/>
      <c r="O11" s="53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  <c r="GQ11" s="31"/>
      <c r="GR11" s="31"/>
      <c r="GS11" s="31"/>
      <c r="GT11" s="31"/>
      <c r="GU11" s="31"/>
      <c r="GV11" s="31"/>
      <c r="GW11" s="31"/>
      <c r="GX11" s="31"/>
      <c r="GY11" s="31"/>
      <c r="GZ11" s="31"/>
      <c r="HA11" s="31"/>
      <c r="HB11" s="31"/>
      <c r="HC11" s="31"/>
      <c r="HD11" s="31"/>
      <c r="HE11" s="31"/>
      <c r="HF11" s="31"/>
      <c r="HG11" s="31"/>
      <c r="HH11" s="31"/>
      <c r="HI11" s="31"/>
      <c r="HJ11" s="31"/>
      <c r="HK11" s="31"/>
      <c r="HL11" s="31"/>
      <c r="HM11" s="31"/>
      <c r="HN11" s="31"/>
      <c r="HO11" s="31"/>
      <c r="HP11" s="31"/>
      <c r="HQ11" s="31"/>
      <c r="HR11" s="31"/>
      <c r="HS11" s="31"/>
      <c r="HT11" s="31"/>
      <c r="HU11" s="31"/>
      <c r="HV11" s="31"/>
      <c r="HW11" s="31"/>
      <c r="HX11" s="31"/>
      <c r="HY11" s="31"/>
      <c r="HZ11" s="31"/>
      <c r="IA11" s="31"/>
      <c r="IB11" s="31"/>
      <c r="IC11" s="31"/>
      <c r="ID11" s="31"/>
      <c r="IE11" s="31"/>
      <c r="IF11" s="31"/>
      <c r="IG11" s="31"/>
      <c r="IH11" s="31"/>
      <c r="II11" s="31"/>
      <c r="IJ11" s="31"/>
      <c r="IK11" s="31"/>
      <c r="IL11" s="31"/>
      <c r="IM11" s="31"/>
      <c r="IN11" s="31"/>
      <c r="IO11" s="31"/>
      <c r="IP11" s="31"/>
      <c r="IQ11" s="31"/>
      <c r="IR11" s="31"/>
      <c r="IS11" s="31"/>
      <c r="IT11" s="31"/>
    </row>
    <row r="12" s="41" customFormat="1" customHeight="1" spans="1:254">
      <c r="A12" s="53">
        <v>6</v>
      </c>
      <c r="B12" s="53"/>
      <c r="C12" s="9" t="s">
        <v>59</v>
      </c>
      <c r="D12" s="13" t="s">
        <v>60</v>
      </c>
      <c r="E12" s="53"/>
      <c r="F12" s="53"/>
      <c r="G12" s="9" t="s">
        <v>58</v>
      </c>
      <c r="H12" s="12">
        <v>55</v>
      </c>
      <c r="I12" s="68">
        <f>4150*55</f>
        <v>228250</v>
      </c>
      <c r="J12" s="12"/>
      <c r="K12" s="65">
        <f>3300*H12</f>
        <v>181500</v>
      </c>
      <c r="L12" s="66">
        <v>0.03</v>
      </c>
      <c r="M12" s="67">
        <f t="shared" si="0"/>
        <v>5445</v>
      </c>
      <c r="N12" s="53"/>
      <c r="O12" s="53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  <c r="GP12" s="31"/>
      <c r="GQ12" s="31"/>
      <c r="GR12" s="31"/>
      <c r="GS12" s="31"/>
      <c r="GT12" s="31"/>
      <c r="GU12" s="31"/>
      <c r="GV12" s="31"/>
      <c r="GW12" s="31"/>
      <c r="GX12" s="31"/>
      <c r="GY12" s="31"/>
      <c r="GZ12" s="31"/>
      <c r="HA12" s="31"/>
      <c r="HB12" s="31"/>
      <c r="HC12" s="31"/>
      <c r="HD12" s="31"/>
      <c r="HE12" s="31"/>
      <c r="HF12" s="31"/>
      <c r="HG12" s="31"/>
      <c r="HH12" s="31"/>
      <c r="HI12" s="31"/>
      <c r="HJ12" s="31"/>
      <c r="HK12" s="31"/>
      <c r="HL12" s="31"/>
      <c r="HM12" s="31"/>
      <c r="HN12" s="31"/>
      <c r="HO12" s="31"/>
      <c r="HP12" s="31"/>
      <c r="HQ12" s="31"/>
      <c r="HR12" s="31"/>
      <c r="HS12" s="31"/>
      <c r="HT12" s="31"/>
      <c r="HU12" s="31"/>
      <c r="HV12" s="31"/>
      <c r="HW12" s="31"/>
      <c r="HX12" s="31"/>
      <c r="HY12" s="31"/>
      <c r="HZ12" s="31"/>
      <c r="IA12" s="31"/>
      <c r="IB12" s="31"/>
      <c r="IC12" s="31"/>
      <c r="ID12" s="31"/>
      <c r="IE12" s="31"/>
      <c r="IF12" s="31"/>
      <c r="IG12" s="31"/>
      <c r="IH12" s="31"/>
      <c r="II12" s="31"/>
      <c r="IJ12" s="31"/>
      <c r="IK12" s="31"/>
      <c r="IL12" s="31"/>
      <c r="IM12" s="31"/>
      <c r="IN12" s="31"/>
      <c r="IO12" s="31"/>
      <c r="IP12" s="31"/>
      <c r="IQ12" s="31"/>
      <c r="IR12" s="31"/>
      <c r="IS12" s="31"/>
      <c r="IT12" s="31"/>
    </row>
    <row r="13" s="41" customFormat="1" customHeight="1" spans="1:254">
      <c r="A13" s="53">
        <v>7</v>
      </c>
      <c r="B13" s="53"/>
      <c r="C13" s="9" t="s">
        <v>61</v>
      </c>
      <c r="D13" s="13" t="s">
        <v>62</v>
      </c>
      <c r="E13" s="53"/>
      <c r="F13" s="53"/>
      <c r="G13" s="9" t="s">
        <v>58</v>
      </c>
      <c r="H13" s="12">
        <v>4</v>
      </c>
      <c r="I13" s="68">
        <f>3500*4</f>
        <v>14000</v>
      </c>
      <c r="J13" s="12"/>
      <c r="K13" s="65">
        <f>2800*4</f>
        <v>11200</v>
      </c>
      <c r="L13" s="66">
        <v>0.03</v>
      </c>
      <c r="M13" s="67">
        <f t="shared" si="0"/>
        <v>336</v>
      </c>
      <c r="N13" s="53"/>
      <c r="O13" s="53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  <c r="GK13" s="31"/>
      <c r="GL13" s="31"/>
      <c r="GM13" s="31"/>
      <c r="GN13" s="31"/>
      <c r="GO13" s="31"/>
      <c r="GP13" s="31"/>
      <c r="GQ13" s="31"/>
      <c r="GR13" s="31"/>
      <c r="GS13" s="31"/>
      <c r="GT13" s="31"/>
      <c r="GU13" s="31"/>
      <c r="GV13" s="31"/>
      <c r="GW13" s="31"/>
      <c r="GX13" s="31"/>
      <c r="GY13" s="31"/>
      <c r="GZ13" s="31"/>
      <c r="HA13" s="31"/>
      <c r="HB13" s="31"/>
      <c r="HC13" s="31"/>
      <c r="HD13" s="31"/>
      <c r="HE13" s="31"/>
      <c r="HF13" s="31"/>
      <c r="HG13" s="31"/>
      <c r="HH13" s="31"/>
      <c r="HI13" s="31"/>
      <c r="HJ13" s="31"/>
      <c r="HK13" s="31"/>
      <c r="HL13" s="31"/>
      <c r="HM13" s="31"/>
      <c r="HN13" s="31"/>
      <c r="HO13" s="31"/>
      <c r="HP13" s="31"/>
      <c r="HQ13" s="31"/>
      <c r="HR13" s="31"/>
      <c r="HS13" s="31"/>
      <c r="HT13" s="31"/>
      <c r="HU13" s="31"/>
      <c r="HV13" s="31"/>
      <c r="HW13" s="31"/>
      <c r="HX13" s="31"/>
      <c r="HY13" s="31"/>
      <c r="HZ13" s="31"/>
      <c r="IA13" s="31"/>
      <c r="IB13" s="31"/>
      <c r="IC13" s="31"/>
      <c r="ID13" s="31"/>
      <c r="IE13" s="31"/>
      <c r="IF13" s="31"/>
      <c r="IG13" s="31"/>
      <c r="IH13" s="31"/>
      <c r="II13" s="31"/>
      <c r="IJ13" s="31"/>
      <c r="IK13" s="31"/>
      <c r="IL13" s="31"/>
      <c r="IM13" s="31"/>
      <c r="IN13" s="31"/>
      <c r="IO13" s="31"/>
      <c r="IP13" s="31"/>
      <c r="IQ13" s="31"/>
      <c r="IR13" s="31"/>
      <c r="IS13" s="31"/>
      <c r="IT13" s="31"/>
    </row>
    <row r="14" s="41" customFormat="1" customHeight="1" spans="1:254">
      <c r="A14" s="53">
        <v>8</v>
      </c>
      <c r="B14" s="53"/>
      <c r="C14" s="9" t="s">
        <v>63</v>
      </c>
      <c r="D14" s="13" t="s">
        <v>64</v>
      </c>
      <c r="E14" s="53"/>
      <c r="F14" s="53"/>
      <c r="G14" s="9" t="s">
        <v>58</v>
      </c>
      <c r="H14" s="12">
        <v>1</v>
      </c>
      <c r="I14" s="68">
        <v>3500</v>
      </c>
      <c r="J14" s="12"/>
      <c r="K14" s="65">
        <v>2600</v>
      </c>
      <c r="L14" s="66">
        <v>0.03</v>
      </c>
      <c r="M14" s="67">
        <f t="shared" si="0"/>
        <v>78</v>
      </c>
      <c r="N14" s="53"/>
      <c r="O14" s="53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="41" customFormat="1" customHeight="1" spans="1:254">
      <c r="A15" s="53">
        <v>9</v>
      </c>
      <c r="B15" s="53"/>
      <c r="C15" s="9" t="s">
        <v>65</v>
      </c>
      <c r="D15" s="13" t="s">
        <v>66</v>
      </c>
      <c r="E15" s="53"/>
      <c r="F15" s="53"/>
      <c r="G15" s="9" t="s">
        <v>67</v>
      </c>
      <c r="H15" s="12">
        <v>7</v>
      </c>
      <c r="I15" s="68">
        <f>17500*7</f>
        <v>122500</v>
      </c>
      <c r="J15" s="12"/>
      <c r="K15" s="65">
        <f>13500*7</f>
        <v>94500</v>
      </c>
      <c r="L15" s="69">
        <v>0.03</v>
      </c>
      <c r="M15" s="67">
        <f t="shared" si="0"/>
        <v>2835</v>
      </c>
      <c r="N15" s="53"/>
      <c r="O15" s="53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="41" customFormat="1" customHeight="1" spans="1:254">
      <c r="A16" s="53">
        <v>10</v>
      </c>
      <c r="B16" s="53"/>
      <c r="C16" s="9" t="s">
        <v>61</v>
      </c>
      <c r="D16" s="13" t="s">
        <v>68</v>
      </c>
      <c r="E16" s="53"/>
      <c r="F16" s="53"/>
      <c r="G16" s="9" t="s">
        <v>69</v>
      </c>
      <c r="H16" s="12">
        <v>7</v>
      </c>
      <c r="I16" s="68">
        <f>3260*7</f>
        <v>22820</v>
      </c>
      <c r="J16" s="12"/>
      <c r="K16" s="65">
        <f>2400*7</f>
        <v>16800</v>
      </c>
      <c r="L16" s="69">
        <v>0.03</v>
      </c>
      <c r="M16" s="67">
        <f t="shared" si="0"/>
        <v>504</v>
      </c>
      <c r="N16" s="53"/>
      <c r="O16" s="53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="41" customFormat="1" customHeight="1" spans="1:254">
      <c r="A17" s="53">
        <v>11</v>
      </c>
      <c r="B17" s="53"/>
      <c r="C17" s="9" t="s">
        <v>70</v>
      </c>
      <c r="D17" s="13" t="s">
        <v>71</v>
      </c>
      <c r="E17" s="53"/>
      <c r="F17" s="53"/>
      <c r="G17" s="9" t="s">
        <v>72</v>
      </c>
      <c r="H17" s="12">
        <v>7</v>
      </c>
      <c r="I17" s="68">
        <f>6200*7</f>
        <v>43400</v>
      </c>
      <c r="J17" s="12"/>
      <c r="K17" s="65">
        <f>4100*7</f>
        <v>28700</v>
      </c>
      <c r="L17" s="66">
        <v>0.03</v>
      </c>
      <c r="M17" s="67">
        <f t="shared" si="0"/>
        <v>861</v>
      </c>
      <c r="N17" s="53"/>
      <c r="O17" s="53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="41" customFormat="1" customHeight="1" spans="1:254">
      <c r="A18" s="53">
        <v>12</v>
      </c>
      <c r="B18" s="53"/>
      <c r="C18" s="9" t="s">
        <v>73</v>
      </c>
      <c r="D18" s="13" t="s">
        <v>74</v>
      </c>
      <c r="E18" s="53"/>
      <c r="F18" s="53"/>
      <c r="G18" s="9" t="s">
        <v>75</v>
      </c>
      <c r="H18" s="12">
        <v>1</v>
      </c>
      <c r="I18" s="68">
        <v>5550</v>
      </c>
      <c r="J18" s="12"/>
      <c r="K18" s="65">
        <f>4400</f>
        <v>4400</v>
      </c>
      <c r="L18" s="66">
        <v>0.03</v>
      </c>
      <c r="M18" s="67">
        <f t="shared" si="0"/>
        <v>132</v>
      </c>
      <c r="N18" s="53"/>
      <c r="O18" s="53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="41" customFormat="1" customHeight="1" spans="1:254">
      <c r="A19" s="53">
        <v>13</v>
      </c>
      <c r="B19" s="53"/>
      <c r="C19" s="9" t="s">
        <v>76</v>
      </c>
      <c r="D19" s="13" t="s">
        <v>77</v>
      </c>
      <c r="E19" s="53"/>
      <c r="F19" s="53"/>
      <c r="G19" s="9" t="s">
        <v>78</v>
      </c>
      <c r="H19" s="12">
        <v>3</v>
      </c>
      <c r="I19" s="68">
        <v>1800</v>
      </c>
      <c r="J19" s="12"/>
      <c r="K19" s="65">
        <f>480*3</f>
        <v>1440</v>
      </c>
      <c r="L19" s="66">
        <v>0.01</v>
      </c>
      <c r="M19" s="67">
        <f t="shared" si="0"/>
        <v>14.4</v>
      </c>
      <c r="N19" s="53"/>
      <c r="O19" s="53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="41" customFormat="1" customHeight="1" spans="1:254">
      <c r="A20" s="53">
        <v>14</v>
      </c>
      <c r="B20" s="53"/>
      <c r="C20" s="9" t="s">
        <v>79</v>
      </c>
      <c r="D20" s="13" t="s">
        <v>80</v>
      </c>
      <c r="E20" s="53"/>
      <c r="F20" s="53"/>
      <c r="G20" s="9" t="s">
        <v>81</v>
      </c>
      <c r="H20" s="12">
        <v>3</v>
      </c>
      <c r="I20" s="68">
        <f>5799*3</f>
        <v>17397</v>
      </c>
      <c r="J20" s="12"/>
      <c r="K20" s="65">
        <f>4500*3</f>
        <v>13500</v>
      </c>
      <c r="L20" s="66">
        <v>0.03</v>
      </c>
      <c r="M20" s="67">
        <f t="shared" si="0"/>
        <v>405</v>
      </c>
      <c r="N20" s="53"/>
      <c r="O20" s="53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="41" customFormat="1" customHeight="1" spans="1:254">
      <c r="A21" s="53">
        <v>15</v>
      </c>
      <c r="B21" s="53"/>
      <c r="C21" s="9" t="s">
        <v>61</v>
      </c>
      <c r="D21" s="13" t="s">
        <v>62</v>
      </c>
      <c r="E21" s="53"/>
      <c r="F21" s="53"/>
      <c r="G21" s="9" t="s">
        <v>48</v>
      </c>
      <c r="H21" s="12">
        <v>1</v>
      </c>
      <c r="I21" s="68">
        <v>5000</v>
      </c>
      <c r="J21" s="12"/>
      <c r="K21" s="65">
        <v>4500</v>
      </c>
      <c r="L21" s="66">
        <v>0.05</v>
      </c>
      <c r="M21" s="67">
        <f t="shared" si="0"/>
        <v>225</v>
      </c>
      <c r="N21" s="53"/>
      <c r="O21" s="53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="41" customFormat="1" customHeight="1" spans="1:254">
      <c r="A22" s="53">
        <v>16</v>
      </c>
      <c r="B22" s="53"/>
      <c r="C22" s="9" t="s">
        <v>82</v>
      </c>
      <c r="D22" s="13" t="s">
        <v>83</v>
      </c>
      <c r="E22" s="53"/>
      <c r="F22" s="53"/>
      <c r="G22" s="9" t="s">
        <v>58</v>
      </c>
      <c r="H22" s="12">
        <v>24</v>
      </c>
      <c r="I22" s="68">
        <f>9500*24</f>
        <v>228000</v>
      </c>
      <c r="J22" s="12"/>
      <c r="K22" s="65">
        <f>8200*24</f>
        <v>196800</v>
      </c>
      <c r="L22" s="66">
        <v>0.03</v>
      </c>
      <c r="M22" s="67">
        <f t="shared" si="0"/>
        <v>5904</v>
      </c>
      <c r="N22" s="53"/>
      <c r="O22" s="53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  <c r="GP22" s="31"/>
      <c r="GQ22" s="31"/>
      <c r="GR22" s="31"/>
      <c r="GS22" s="31"/>
      <c r="GT22" s="31"/>
      <c r="GU22" s="31"/>
      <c r="GV22" s="31"/>
      <c r="GW22" s="31"/>
      <c r="GX22" s="31"/>
      <c r="GY22" s="31"/>
      <c r="GZ22" s="31"/>
      <c r="HA22" s="31"/>
      <c r="HB22" s="31"/>
      <c r="HC22" s="31"/>
      <c r="HD22" s="31"/>
      <c r="HE22" s="31"/>
      <c r="HF22" s="31"/>
      <c r="HG22" s="31"/>
      <c r="HH22" s="31"/>
      <c r="HI22" s="31"/>
      <c r="HJ22" s="31"/>
      <c r="HK22" s="31"/>
      <c r="HL22" s="31"/>
      <c r="HM22" s="31"/>
      <c r="HN22" s="31"/>
      <c r="HO22" s="31"/>
      <c r="HP22" s="31"/>
      <c r="HQ22" s="31"/>
      <c r="HR22" s="31"/>
      <c r="HS22" s="31"/>
      <c r="HT22" s="31"/>
      <c r="HU22" s="31"/>
      <c r="HV22" s="31"/>
      <c r="HW22" s="31"/>
      <c r="HX22" s="31"/>
      <c r="HY22" s="31"/>
      <c r="HZ22" s="31"/>
      <c r="IA22" s="31"/>
      <c r="IB22" s="31"/>
      <c r="IC22" s="31"/>
      <c r="ID22" s="31"/>
      <c r="IE22" s="31"/>
      <c r="IF22" s="31"/>
      <c r="IG22" s="31"/>
      <c r="IH22" s="31"/>
      <c r="II22" s="31"/>
      <c r="IJ22" s="31"/>
      <c r="IK22" s="31"/>
      <c r="IL22" s="31"/>
      <c r="IM22" s="31"/>
      <c r="IN22" s="31"/>
      <c r="IO22" s="31"/>
      <c r="IP22" s="31"/>
      <c r="IQ22" s="31"/>
      <c r="IR22" s="31"/>
      <c r="IS22" s="31"/>
      <c r="IT22" s="31"/>
    </row>
    <row r="23" s="41" customFormat="1" customHeight="1" spans="1:254">
      <c r="A23" s="53">
        <v>17</v>
      </c>
      <c r="B23" s="53"/>
      <c r="C23" s="9" t="s">
        <v>59</v>
      </c>
      <c r="D23" s="13" t="s">
        <v>60</v>
      </c>
      <c r="E23" s="53"/>
      <c r="F23" s="53"/>
      <c r="G23" s="9" t="s">
        <v>58</v>
      </c>
      <c r="H23" s="12">
        <v>1</v>
      </c>
      <c r="I23" s="68">
        <v>3500</v>
      </c>
      <c r="J23" s="12"/>
      <c r="K23" s="65">
        <v>2600</v>
      </c>
      <c r="L23" s="66">
        <v>0.03</v>
      </c>
      <c r="M23" s="67">
        <f t="shared" si="0"/>
        <v>78</v>
      </c>
      <c r="N23" s="53"/>
      <c r="O23" s="53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  <c r="GP23" s="31"/>
      <c r="GQ23" s="31"/>
      <c r="GR23" s="31"/>
      <c r="GS23" s="31"/>
      <c r="GT23" s="31"/>
      <c r="GU23" s="31"/>
      <c r="GV23" s="31"/>
      <c r="GW23" s="31"/>
      <c r="GX23" s="31"/>
      <c r="GY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  <c r="HX23" s="31"/>
      <c r="HY23" s="31"/>
      <c r="HZ23" s="31"/>
      <c r="IA23" s="31"/>
      <c r="IB23" s="31"/>
      <c r="IC23" s="31"/>
      <c r="ID23" s="31"/>
      <c r="IE23" s="31"/>
      <c r="IF23" s="31"/>
      <c r="IG23" s="31"/>
      <c r="IH23" s="31"/>
      <c r="II23" s="31"/>
      <c r="IJ23" s="31"/>
      <c r="IK23" s="31"/>
      <c r="IL23" s="31"/>
      <c r="IM23" s="31"/>
      <c r="IN23" s="31"/>
      <c r="IO23" s="31"/>
      <c r="IP23" s="31"/>
      <c r="IQ23" s="31"/>
      <c r="IR23" s="31"/>
      <c r="IS23" s="31"/>
      <c r="IT23" s="31"/>
    </row>
    <row r="24" s="41" customFormat="1" customHeight="1" spans="1:254">
      <c r="A24" s="53">
        <v>18</v>
      </c>
      <c r="B24" s="53"/>
      <c r="C24" s="9" t="s">
        <v>84</v>
      </c>
      <c r="D24" s="13" t="s">
        <v>85</v>
      </c>
      <c r="E24" s="53"/>
      <c r="F24" s="53"/>
      <c r="G24" s="9" t="s">
        <v>86</v>
      </c>
      <c r="H24" s="12">
        <v>1</v>
      </c>
      <c r="I24" s="68">
        <v>900</v>
      </c>
      <c r="J24" s="12"/>
      <c r="K24" s="65">
        <v>730</v>
      </c>
      <c r="L24" s="66">
        <v>0.03</v>
      </c>
      <c r="M24" s="67">
        <f t="shared" si="0"/>
        <v>21.9</v>
      </c>
      <c r="N24" s="53"/>
      <c r="O24" s="53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="41" customFormat="1" customHeight="1" spans="1:254">
      <c r="A25" s="53">
        <v>19</v>
      </c>
      <c r="B25" s="53"/>
      <c r="C25" s="9" t="s">
        <v>87</v>
      </c>
      <c r="D25" s="13" t="s">
        <v>88</v>
      </c>
      <c r="E25" s="53"/>
      <c r="F25" s="53"/>
      <c r="G25" s="9" t="s">
        <v>67</v>
      </c>
      <c r="H25" s="12">
        <v>1</v>
      </c>
      <c r="I25" s="68">
        <v>75000</v>
      </c>
      <c r="J25" s="12"/>
      <c r="K25" s="65">
        <v>53000</v>
      </c>
      <c r="L25" s="69">
        <v>0.01</v>
      </c>
      <c r="M25" s="67">
        <f t="shared" si="0"/>
        <v>530</v>
      </c>
      <c r="N25" s="53"/>
      <c r="O25" s="53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="41" customFormat="1" customHeight="1" spans="1:254">
      <c r="A26" s="53">
        <v>20</v>
      </c>
      <c r="B26" s="53"/>
      <c r="C26" s="9" t="s">
        <v>89</v>
      </c>
      <c r="D26" s="13" t="s">
        <v>77</v>
      </c>
      <c r="E26" s="53"/>
      <c r="F26" s="53"/>
      <c r="G26" s="9" t="s">
        <v>90</v>
      </c>
      <c r="H26" s="12">
        <v>1</v>
      </c>
      <c r="I26" s="68">
        <v>150000</v>
      </c>
      <c r="J26" s="12"/>
      <c r="K26" s="65">
        <v>63000</v>
      </c>
      <c r="L26" s="69">
        <v>0.01</v>
      </c>
      <c r="M26" s="67">
        <f t="shared" si="0"/>
        <v>630</v>
      </c>
      <c r="N26" s="53"/>
      <c r="O26" s="53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="41" customFormat="1" customHeight="1" spans="1:254">
      <c r="A27" s="53">
        <v>21</v>
      </c>
      <c r="B27" s="53"/>
      <c r="C27" s="9" t="s">
        <v>91</v>
      </c>
      <c r="D27" s="13" t="s">
        <v>92</v>
      </c>
      <c r="E27" s="53"/>
      <c r="F27" s="53"/>
      <c r="G27" s="9" t="s">
        <v>93</v>
      </c>
      <c r="H27" s="12">
        <v>1</v>
      </c>
      <c r="I27" s="68">
        <v>1000</v>
      </c>
      <c r="J27" s="12"/>
      <c r="K27" s="65">
        <v>850</v>
      </c>
      <c r="L27" s="66">
        <v>0.05</v>
      </c>
      <c r="M27" s="67">
        <f t="shared" si="0"/>
        <v>42.5</v>
      </c>
      <c r="N27" s="53"/>
      <c r="O27" s="53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="41" customFormat="1" customHeight="1" spans="1:254">
      <c r="A28" s="53">
        <v>22</v>
      </c>
      <c r="B28" s="53"/>
      <c r="C28" s="9" t="s">
        <v>59</v>
      </c>
      <c r="D28" s="13" t="s">
        <v>60</v>
      </c>
      <c r="E28" s="53"/>
      <c r="F28" s="53"/>
      <c r="G28" s="9" t="s">
        <v>58</v>
      </c>
      <c r="H28" s="12">
        <v>2</v>
      </c>
      <c r="I28" s="68">
        <f>6600*2</f>
        <v>13200</v>
      </c>
      <c r="J28" s="12"/>
      <c r="K28" s="65">
        <v>10000</v>
      </c>
      <c r="L28" s="66">
        <v>0.03</v>
      </c>
      <c r="M28" s="67">
        <f t="shared" si="0"/>
        <v>300</v>
      </c>
      <c r="N28" s="53"/>
      <c r="O28" s="53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="41" customFormat="1" customHeight="1" spans="1:254">
      <c r="A29" s="53">
        <v>23</v>
      </c>
      <c r="B29" s="53"/>
      <c r="C29" s="9" t="s">
        <v>94</v>
      </c>
      <c r="D29" s="13" t="s">
        <v>95</v>
      </c>
      <c r="E29" s="53"/>
      <c r="F29" s="53"/>
      <c r="G29" s="9" t="s">
        <v>58</v>
      </c>
      <c r="H29" s="12">
        <v>1</v>
      </c>
      <c r="I29" s="68">
        <v>27000</v>
      </c>
      <c r="J29" s="12"/>
      <c r="K29" s="65">
        <f>I29*0.75</f>
        <v>20250</v>
      </c>
      <c r="L29" s="66">
        <v>0.02</v>
      </c>
      <c r="M29" s="67">
        <f t="shared" si="0"/>
        <v>405</v>
      </c>
      <c r="N29" s="53"/>
      <c r="O29" s="53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="41" customFormat="1" customHeight="1" spans="1:254">
      <c r="A30" s="53">
        <v>24</v>
      </c>
      <c r="B30" s="53"/>
      <c r="C30" s="9" t="s">
        <v>96</v>
      </c>
      <c r="D30" s="13" t="s">
        <v>77</v>
      </c>
      <c r="E30" s="53"/>
      <c r="F30" s="53"/>
      <c r="G30" s="9" t="s">
        <v>67</v>
      </c>
      <c r="H30" s="12">
        <v>1</v>
      </c>
      <c r="I30" s="68">
        <v>8000</v>
      </c>
      <c r="J30" s="12"/>
      <c r="K30" s="65">
        <f>5800</f>
        <v>5800</v>
      </c>
      <c r="L30" s="69">
        <v>0.03</v>
      </c>
      <c r="M30" s="67">
        <f t="shared" si="0"/>
        <v>174</v>
      </c>
      <c r="N30" s="53"/>
      <c r="O30" s="53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="41" customFormat="1" customHeight="1" spans="1:254">
      <c r="A31" s="53">
        <v>25</v>
      </c>
      <c r="B31" s="53"/>
      <c r="C31" s="9" t="s">
        <v>97</v>
      </c>
      <c r="D31" s="13" t="s">
        <v>77</v>
      </c>
      <c r="E31" s="53"/>
      <c r="F31" s="53"/>
      <c r="G31" s="9" t="s">
        <v>93</v>
      </c>
      <c r="H31" s="12">
        <v>2</v>
      </c>
      <c r="I31" s="68">
        <v>3800</v>
      </c>
      <c r="J31" s="12"/>
      <c r="K31" s="65">
        <v>3000</v>
      </c>
      <c r="L31" s="66">
        <v>0.04</v>
      </c>
      <c r="M31" s="67">
        <f t="shared" si="0"/>
        <v>120</v>
      </c>
      <c r="N31" s="53"/>
      <c r="O31" s="53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="41" customFormat="1" customHeight="1" spans="1:254">
      <c r="A32" s="53">
        <v>26</v>
      </c>
      <c r="B32" s="53"/>
      <c r="C32" s="9" t="s">
        <v>98</v>
      </c>
      <c r="D32" s="13" t="s">
        <v>99</v>
      </c>
      <c r="E32" s="53"/>
      <c r="F32" s="53"/>
      <c r="G32" s="9" t="s">
        <v>58</v>
      </c>
      <c r="H32" s="12">
        <v>1</v>
      </c>
      <c r="I32" s="68">
        <v>3200</v>
      </c>
      <c r="J32" s="12"/>
      <c r="K32" s="65">
        <v>2800</v>
      </c>
      <c r="L32" s="66">
        <v>0.03</v>
      </c>
      <c r="M32" s="67">
        <f t="shared" si="0"/>
        <v>84</v>
      </c>
      <c r="N32" s="53"/>
      <c r="O32" s="53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="41" customFormat="1" customHeight="1" spans="1:254">
      <c r="A33" s="53">
        <v>27</v>
      </c>
      <c r="B33" s="53"/>
      <c r="C33" s="9" t="s">
        <v>84</v>
      </c>
      <c r="D33" s="13" t="s">
        <v>100</v>
      </c>
      <c r="E33" s="53"/>
      <c r="F33" s="53"/>
      <c r="G33" s="9" t="s">
        <v>101</v>
      </c>
      <c r="H33" s="12">
        <v>1</v>
      </c>
      <c r="I33" s="25">
        <v>3250</v>
      </c>
      <c r="J33" s="12"/>
      <c r="K33" s="65">
        <v>2900</v>
      </c>
      <c r="L33" s="66">
        <v>0.05</v>
      </c>
      <c r="M33" s="67">
        <f t="shared" si="0"/>
        <v>145</v>
      </c>
      <c r="N33" s="53"/>
      <c r="O33" s="53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="41" customFormat="1" customHeight="1" spans="1:254">
      <c r="A34" s="53">
        <v>28</v>
      </c>
      <c r="B34" s="53"/>
      <c r="C34" s="9" t="s">
        <v>51</v>
      </c>
      <c r="D34" s="13" t="s">
        <v>102</v>
      </c>
      <c r="E34" s="53"/>
      <c r="F34" s="53"/>
      <c r="G34" s="9" t="s">
        <v>103</v>
      </c>
      <c r="H34" s="12">
        <v>3</v>
      </c>
      <c r="I34" s="25">
        <f>6100*3</f>
        <v>18300</v>
      </c>
      <c r="J34" s="12"/>
      <c r="K34" s="65">
        <f>H34*4800</f>
        <v>14400</v>
      </c>
      <c r="L34" s="66">
        <v>0.05</v>
      </c>
      <c r="M34" s="67">
        <f t="shared" si="0"/>
        <v>720</v>
      </c>
      <c r="N34" s="53"/>
      <c r="O34" s="53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="41" customFormat="1" customHeight="1" spans="1:254">
      <c r="A35" s="53">
        <v>29</v>
      </c>
      <c r="B35" s="53"/>
      <c r="C35" s="9" t="s">
        <v>104</v>
      </c>
      <c r="D35" s="13" t="s">
        <v>105</v>
      </c>
      <c r="E35" s="53"/>
      <c r="F35" s="53"/>
      <c r="G35" s="9" t="s">
        <v>101</v>
      </c>
      <c r="H35" s="12">
        <v>1</v>
      </c>
      <c r="I35" s="25">
        <v>650</v>
      </c>
      <c r="J35" s="12"/>
      <c r="K35" s="65">
        <v>500</v>
      </c>
      <c r="L35" s="66">
        <v>0.03</v>
      </c>
      <c r="M35" s="67">
        <f t="shared" si="0"/>
        <v>15</v>
      </c>
      <c r="N35" s="53"/>
      <c r="O35" s="53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="41" customFormat="1" customHeight="1" spans="1:254">
      <c r="A36" s="53">
        <v>30</v>
      </c>
      <c r="B36" s="53"/>
      <c r="C36" s="9" t="s">
        <v>106</v>
      </c>
      <c r="D36" s="13" t="s">
        <v>107</v>
      </c>
      <c r="E36" s="53"/>
      <c r="F36" s="53"/>
      <c r="G36" s="9" t="s">
        <v>101</v>
      </c>
      <c r="H36" s="12">
        <v>11</v>
      </c>
      <c r="I36" s="25">
        <f>260*11</f>
        <v>2860</v>
      </c>
      <c r="J36" s="12"/>
      <c r="K36" s="65">
        <f>160*H36</f>
        <v>1760</v>
      </c>
      <c r="L36" s="12"/>
      <c r="M36" s="67">
        <f t="shared" si="0"/>
        <v>0</v>
      </c>
      <c r="N36" s="53"/>
      <c r="O36" s="53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="41" customFormat="1" customHeight="1" spans="1:254">
      <c r="A37" s="53">
        <v>31</v>
      </c>
      <c r="B37" s="53"/>
      <c r="C37" s="9" t="s">
        <v>108</v>
      </c>
      <c r="D37" s="13" t="s">
        <v>109</v>
      </c>
      <c r="E37" s="53"/>
      <c r="F37" s="53"/>
      <c r="G37" s="9" t="s">
        <v>101</v>
      </c>
      <c r="H37" s="12">
        <v>1</v>
      </c>
      <c r="I37" s="25">
        <v>26000</v>
      </c>
      <c r="J37" s="12"/>
      <c r="K37" s="65">
        <f>I37*0.8</f>
        <v>20800</v>
      </c>
      <c r="L37" s="66">
        <v>0.01</v>
      </c>
      <c r="M37" s="67">
        <f t="shared" si="0"/>
        <v>208</v>
      </c>
      <c r="N37" s="53"/>
      <c r="O37" s="53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  <c r="GK37" s="31"/>
      <c r="GL37" s="31"/>
      <c r="GM37" s="31"/>
      <c r="GN37" s="31"/>
      <c r="GO37" s="31"/>
      <c r="GP37" s="31"/>
      <c r="GQ37" s="31"/>
      <c r="GR37" s="31"/>
      <c r="GS37" s="31"/>
      <c r="GT37" s="31"/>
      <c r="GU37" s="31"/>
      <c r="GV37" s="31"/>
      <c r="GW37" s="31"/>
      <c r="GX37" s="31"/>
      <c r="GY37" s="31"/>
      <c r="GZ37" s="31"/>
      <c r="HA37" s="31"/>
      <c r="HB37" s="31"/>
      <c r="HC37" s="31"/>
      <c r="HD37" s="31"/>
      <c r="HE37" s="31"/>
      <c r="HF37" s="31"/>
      <c r="HG37" s="31"/>
      <c r="HH37" s="31"/>
      <c r="HI37" s="31"/>
      <c r="HJ37" s="31"/>
      <c r="HK37" s="31"/>
      <c r="HL37" s="31"/>
      <c r="HM37" s="31"/>
      <c r="HN37" s="31"/>
      <c r="HO37" s="31"/>
      <c r="HP37" s="31"/>
      <c r="HQ37" s="31"/>
      <c r="HR37" s="31"/>
      <c r="HS37" s="31"/>
      <c r="HT37" s="31"/>
      <c r="HU37" s="31"/>
      <c r="HV37" s="31"/>
      <c r="HW37" s="31"/>
      <c r="HX37" s="31"/>
      <c r="HY37" s="31"/>
      <c r="HZ37" s="31"/>
      <c r="IA37" s="31"/>
      <c r="IB37" s="31"/>
      <c r="IC37" s="31"/>
      <c r="ID37" s="31"/>
      <c r="IE37" s="31"/>
      <c r="IF37" s="31"/>
      <c r="IG37" s="31"/>
      <c r="IH37" s="31"/>
      <c r="II37" s="31"/>
      <c r="IJ37" s="31"/>
      <c r="IK37" s="31"/>
      <c r="IL37" s="31"/>
      <c r="IM37" s="31"/>
      <c r="IN37" s="31"/>
      <c r="IO37" s="31"/>
      <c r="IP37" s="31"/>
      <c r="IQ37" s="31"/>
      <c r="IR37" s="31"/>
      <c r="IS37" s="31"/>
      <c r="IT37" s="31"/>
    </row>
    <row r="38" s="41" customFormat="1" customHeight="1" spans="1:254">
      <c r="A38" s="53">
        <v>32</v>
      </c>
      <c r="B38" s="53"/>
      <c r="C38" s="9" t="s">
        <v>110</v>
      </c>
      <c r="D38" s="13" t="s">
        <v>111</v>
      </c>
      <c r="E38" s="53"/>
      <c r="F38" s="53"/>
      <c r="G38" s="9" t="s">
        <v>101</v>
      </c>
      <c r="H38" s="12">
        <v>1</v>
      </c>
      <c r="I38" s="25">
        <v>2600</v>
      </c>
      <c r="J38" s="12"/>
      <c r="K38" s="65">
        <v>2000</v>
      </c>
      <c r="L38" s="66">
        <v>0.05</v>
      </c>
      <c r="M38" s="67">
        <f t="shared" si="0"/>
        <v>100</v>
      </c>
      <c r="N38" s="53"/>
      <c r="O38" s="53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  <c r="IQ38" s="31"/>
      <c r="IR38" s="31"/>
      <c r="IS38" s="31"/>
      <c r="IT38" s="31"/>
    </row>
    <row r="39" s="41" customFormat="1" customHeight="1" spans="1:254">
      <c r="A39" s="53">
        <v>33</v>
      </c>
      <c r="B39" s="53"/>
      <c r="C39" s="9" t="s">
        <v>112</v>
      </c>
      <c r="D39" s="13" t="s">
        <v>113</v>
      </c>
      <c r="E39" s="53"/>
      <c r="F39" s="53"/>
      <c r="G39" s="9" t="s">
        <v>101</v>
      </c>
      <c r="H39" s="12">
        <v>1</v>
      </c>
      <c r="I39" s="25">
        <v>26000</v>
      </c>
      <c r="J39" s="12"/>
      <c r="K39" s="65">
        <f>I39*0.8</f>
        <v>20800</v>
      </c>
      <c r="L39" s="66">
        <v>0.01</v>
      </c>
      <c r="M39" s="67">
        <f t="shared" si="0"/>
        <v>208</v>
      </c>
      <c r="N39" s="53"/>
      <c r="O39" s="53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  <c r="FG39" s="31"/>
      <c r="FH39" s="31"/>
      <c r="FI39" s="31"/>
      <c r="FJ39" s="31"/>
      <c r="FK39" s="31"/>
      <c r="FL39" s="31"/>
      <c r="FM39" s="31"/>
      <c r="FN39" s="31"/>
      <c r="FO39" s="31"/>
      <c r="FP39" s="31"/>
      <c r="FQ39" s="31"/>
      <c r="FR39" s="31"/>
      <c r="FS39" s="31"/>
      <c r="FT39" s="31"/>
      <c r="FU39" s="31"/>
      <c r="FV39" s="31"/>
      <c r="FW39" s="31"/>
      <c r="FX39" s="31"/>
      <c r="FY39" s="31"/>
      <c r="FZ39" s="31"/>
      <c r="GA39" s="31"/>
      <c r="GB39" s="31"/>
      <c r="GC39" s="31"/>
      <c r="GD39" s="31"/>
      <c r="GE39" s="31"/>
      <c r="GF39" s="31"/>
      <c r="GG39" s="31"/>
      <c r="GH39" s="31"/>
      <c r="GI39" s="31"/>
      <c r="GJ39" s="31"/>
      <c r="GK39" s="31"/>
      <c r="GL39" s="31"/>
      <c r="GM39" s="31"/>
      <c r="GN39" s="31"/>
      <c r="GO39" s="31"/>
      <c r="GP39" s="31"/>
      <c r="GQ39" s="31"/>
      <c r="GR39" s="31"/>
      <c r="GS39" s="31"/>
      <c r="GT39" s="31"/>
      <c r="GU39" s="31"/>
      <c r="GV39" s="31"/>
      <c r="GW39" s="31"/>
      <c r="GX39" s="31"/>
      <c r="GY39" s="31"/>
      <c r="GZ39" s="31"/>
      <c r="HA39" s="31"/>
      <c r="HB39" s="31"/>
      <c r="HC39" s="31"/>
      <c r="HD39" s="31"/>
      <c r="HE39" s="31"/>
      <c r="HF39" s="31"/>
      <c r="HG39" s="31"/>
      <c r="HH39" s="31"/>
      <c r="HI39" s="31"/>
      <c r="HJ39" s="31"/>
      <c r="HK39" s="31"/>
      <c r="HL39" s="31"/>
      <c r="HM39" s="31"/>
      <c r="HN39" s="31"/>
      <c r="HO39" s="31"/>
      <c r="HP39" s="31"/>
      <c r="HQ39" s="31"/>
      <c r="HR39" s="31"/>
      <c r="HS39" s="31"/>
      <c r="HT39" s="31"/>
      <c r="HU39" s="31"/>
      <c r="HV39" s="31"/>
      <c r="HW39" s="31"/>
      <c r="HX39" s="31"/>
      <c r="HY39" s="31"/>
      <c r="HZ39" s="31"/>
      <c r="IA39" s="31"/>
      <c r="IB39" s="31"/>
      <c r="IC39" s="31"/>
      <c r="ID39" s="31"/>
      <c r="IE39" s="31"/>
      <c r="IF39" s="31"/>
      <c r="IG39" s="31"/>
      <c r="IH39" s="31"/>
      <c r="II39" s="31"/>
      <c r="IJ39" s="31"/>
      <c r="IK39" s="31"/>
      <c r="IL39" s="31"/>
      <c r="IM39" s="31"/>
      <c r="IN39" s="31"/>
      <c r="IO39" s="31"/>
      <c r="IP39" s="31"/>
      <c r="IQ39" s="31"/>
      <c r="IR39" s="31"/>
      <c r="IS39" s="31"/>
      <c r="IT39" s="31"/>
    </row>
    <row r="40" s="41" customFormat="1" customHeight="1" spans="1:254">
      <c r="A40" s="53">
        <v>34</v>
      </c>
      <c r="B40" s="53"/>
      <c r="C40" s="9" t="s">
        <v>114</v>
      </c>
      <c r="D40" s="13" t="s">
        <v>115</v>
      </c>
      <c r="E40" s="53"/>
      <c r="F40" s="53"/>
      <c r="G40" s="9" t="s">
        <v>101</v>
      </c>
      <c r="H40" s="12">
        <v>1</v>
      </c>
      <c r="I40" s="25">
        <v>22100</v>
      </c>
      <c r="J40" s="12"/>
      <c r="K40" s="65">
        <f>I40*0.8</f>
        <v>17680</v>
      </c>
      <c r="L40" s="66">
        <v>0.02</v>
      </c>
      <c r="M40" s="67">
        <f t="shared" ref="M40:M71" si="1">K40*L40</f>
        <v>353.6</v>
      </c>
      <c r="N40" s="53"/>
      <c r="O40" s="53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  <c r="FF40" s="31"/>
      <c r="FG40" s="31"/>
      <c r="FH40" s="31"/>
      <c r="FI40" s="31"/>
      <c r="FJ40" s="31"/>
      <c r="FK40" s="31"/>
      <c r="FL40" s="31"/>
      <c r="FM40" s="31"/>
      <c r="FN40" s="31"/>
      <c r="FO40" s="31"/>
      <c r="FP40" s="31"/>
      <c r="FQ40" s="31"/>
      <c r="FR40" s="31"/>
      <c r="FS40" s="31"/>
      <c r="FT40" s="31"/>
      <c r="FU40" s="31"/>
      <c r="FV40" s="31"/>
      <c r="FW40" s="31"/>
      <c r="FX40" s="31"/>
      <c r="FY40" s="31"/>
      <c r="FZ40" s="31"/>
      <c r="GA40" s="31"/>
      <c r="GB40" s="31"/>
      <c r="GC40" s="31"/>
      <c r="GD40" s="31"/>
      <c r="GE40" s="31"/>
      <c r="GF40" s="31"/>
      <c r="GG40" s="31"/>
      <c r="GH40" s="31"/>
      <c r="GI40" s="31"/>
      <c r="GJ40" s="31"/>
      <c r="GK40" s="31"/>
      <c r="GL40" s="31"/>
      <c r="GM40" s="31"/>
      <c r="GN40" s="31"/>
      <c r="GO40" s="31"/>
      <c r="GP40" s="31"/>
      <c r="GQ40" s="31"/>
      <c r="GR40" s="31"/>
      <c r="GS40" s="31"/>
      <c r="GT40" s="31"/>
      <c r="GU40" s="31"/>
      <c r="GV40" s="31"/>
      <c r="GW40" s="31"/>
      <c r="GX40" s="31"/>
      <c r="GY40" s="31"/>
      <c r="GZ40" s="31"/>
      <c r="HA40" s="31"/>
      <c r="HB40" s="31"/>
      <c r="HC40" s="31"/>
      <c r="HD40" s="31"/>
      <c r="HE40" s="31"/>
      <c r="HF40" s="31"/>
      <c r="HG40" s="31"/>
      <c r="HH40" s="31"/>
      <c r="HI40" s="31"/>
      <c r="HJ40" s="31"/>
      <c r="HK40" s="31"/>
      <c r="HL40" s="31"/>
      <c r="HM40" s="31"/>
      <c r="HN40" s="31"/>
      <c r="HO40" s="31"/>
      <c r="HP40" s="31"/>
      <c r="HQ40" s="31"/>
      <c r="HR40" s="31"/>
      <c r="HS40" s="31"/>
      <c r="HT40" s="31"/>
      <c r="HU40" s="31"/>
      <c r="HV40" s="31"/>
      <c r="HW40" s="31"/>
      <c r="HX40" s="31"/>
      <c r="HY40" s="31"/>
      <c r="HZ40" s="31"/>
      <c r="IA40" s="31"/>
      <c r="IB40" s="31"/>
      <c r="IC40" s="31"/>
      <c r="ID40" s="31"/>
      <c r="IE40" s="31"/>
      <c r="IF40" s="31"/>
      <c r="IG40" s="31"/>
      <c r="IH40" s="31"/>
      <c r="II40" s="31"/>
      <c r="IJ40" s="31"/>
      <c r="IK40" s="31"/>
      <c r="IL40" s="31"/>
      <c r="IM40" s="31"/>
      <c r="IN40" s="31"/>
      <c r="IO40" s="31"/>
      <c r="IP40" s="31"/>
      <c r="IQ40" s="31"/>
      <c r="IR40" s="31"/>
      <c r="IS40" s="31"/>
      <c r="IT40" s="31"/>
    </row>
    <row r="41" s="41" customFormat="1" customHeight="1" spans="1:254">
      <c r="A41" s="53">
        <v>35</v>
      </c>
      <c r="B41" s="53"/>
      <c r="C41" s="9" t="s">
        <v>116</v>
      </c>
      <c r="D41" s="13" t="s">
        <v>117</v>
      </c>
      <c r="E41" s="53"/>
      <c r="F41" s="53"/>
      <c r="G41" s="9" t="s">
        <v>58</v>
      </c>
      <c r="H41" s="12">
        <v>1</v>
      </c>
      <c r="I41" s="25">
        <v>38000</v>
      </c>
      <c r="J41" s="12"/>
      <c r="K41" s="65">
        <f>I41*0.75</f>
        <v>28500</v>
      </c>
      <c r="L41" s="66">
        <v>0.03</v>
      </c>
      <c r="M41" s="67">
        <f t="shared" si="1"/>
        <v>855</v>
      </c>
      <c r="N41" s="53"/>
      <c r="O41" s="53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  <c r="GK41" s="31"/>
      <c r="GL41" s="31"/>
      <c r="GM41" s="31"/>
      <c r="GN41" s="31"/>
      <c r="GO41" s="31"/>
      <c r="GP41" s="31"/>
      <c r="GQ41" s="31"/>
      <c r="GR41" s="31"/>
      <c r="GS41" s="31"/>
      <c r="GT41" s="31"/>
      <c r="GU41" s="31"/>
      <c r="GV41" s="31"/>
      <c r="GW41" s="31"/>
      <c r="GX41" s="31"/>
      <c r="GY41" s="31"/>
      <c r="GZ41" s="31"/>
      <c r="HA41" s="31"/>
      <c r="HB41" s="31"/>
      <c r="HC41" s="31"/>
      <c r="HD41" s="31"/>
      <c r="HE41" s="31"/>
      <c r="HF41" s="31"/>
      <c r="HG41" s="31"/>
      <c r="HH41" s="31"/>
      <c r="HI41" s="31"/>
      <c r="HJ41" s="31"/>
      <c r="HK41" s="31"/>
      <c r="HL41" s="31"/>
      <c r="HM41" s="31"/>
      <c r="HN41" s="31"/>
      <c r="HO41" s="31"/>
      <c r="HP41" s="31"/>
      <c r="HQ41" s="31"/>
      <c r="HR41" s="31"/>
      <c r="HS41" s="31"/>
      <c r="HT41" s="31"/>
      <c r="HU41" s="31"/>
      <c r="HV41" s="31"/>
      <c r="HW41" s="31"/>
      <c r="HX41" s="31"/>
      <c r="HY41" s="31"/>
      <c r="HZ41" s="31"/>
      <c r="IA41" s="31"/>
      <c r="IB41" s="31"/>
      <c r="IC41" s="31"/>
      <c r="ID41" s="31"/>
      <c r="IE41" s="31"/>
      <c r="IF41" s="31"/>
      <c r="IG41" s="31"/>
      <c r="IH41" s="31"/>
      <c r="II41" s="31"/>
      <c r="IJ41" s="31"/>
      <c r="IK41" s="31"/>
      <c r="IL41" s="31"/>
      <c r="IM41" s="31"/>
      <c r="IN41" s="31"/>
      <c r="IO41" s="31"/>
      <c r="IP41" s="31"/>
      <c r="IQ41" s="31"/>
      <c r="IR41" s="31"/>
      <c r="IS41" s="31"/>
      <c r="IT41" s="31"/>
    </row>
    <row r="42" s="41" customFormat="1" customHeight="1" spans="1:254">
      <c r="A42" s="53">
        <v>36</v>
      </c>
      <c r="B42" s="53"/>
      <c r="C42" s="9" t="s">
        <v>118</v>
      </c>
      <c r="D42" s="13" t="s">
        <v>119</v>
      </c>
      <c r="E42" s="53"/>
      <c r="F42" s="53"/>
      <c r="G42" s="9" t="s">
        <v>58</v>
      </c>
      <c r="H42" s="12">
        <v>10</v>
      </c>
      <c r="I42" s="25">
        <f>2800*10</f>
        <v>28000</v>
      </c>
      <c r="J42" s="12"/>
      <c r="K42" s="65">
        <f>1850*H42</f>
        <v>18500</v>
      </c>
      <c r="L42" s="66">
        <v>0.01</v>
      </c>
      <c r="M42" s="67">
        <f t="shared" si="1"/>
        <v>185</v>
      </c>
      <c r="N42" s="53"/>
      <c r="O42" s="53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  <c r="FG42" s="31"/>
      <c r="FH42" s="31"/>
      <c r="FI42" s="31"/>
      <c r="FJ42" s="31"/>
      <c r="FK42" s="31"/>
      <c r="FL42" s="31"/>
      <c r="FM42" s="31"/>
      <c r="FN42" s="31"/>
      <c r="FO42" s="31"/>
      <c r="FP42" s="31"/>
      <c r="FQ42" s="31"/>
      <c r="FR42" s="31"/>
      <c r="FS42" s="31"/>
      <c r="FT42" s="31"/>
      <c r="FU42" s="31"/>
      <c r="FV42" s="31"/>
      <c r="FW42" s="31"/>
      <c r="FX42" s="31"/>
      <c r="FY42" s="31"/>
      <c r="FZ42" s="31"/>
      <c r="GA42" s="31"/>
      <c r="GB42" s="31"/>
      <c r="GC42" s="31"/>
      <c r="GD42" s="31"/>
      <c r="GE42" s="31"/>
      <c r="GF42" s="31"/>
      <c r="GG42" s="31"/>
      <c r="GH42" s="31"/>
      <c r="GI42" s="31"/>
      <c r="GJ42" s="31"/>
      <c r="GK42" s="31"/>
      <c r="GL42" s="31"/>
      <c r="GM42" s="31"/>
      <c r="GN42" s="31"/>
      <c r="GO42" s="31"/>
      <c r="GP42" s="31"/>
      <c r="GQ42" s="31"/>
      <c r="GR42" s="31"/>
      <c r="GS42" s="31"/>
      <c r="GT42" s="31"/>
      <c r="GU42" s="31"/>
      <c r="GV42" s="31"/>
      <c r="GW42" s="31"/>
      <c r="GX42" s="31"/>
      <c r="GY42" s="31"/>
      <c r="GZ42" s="31"/>
      <c r="HA42" s="31"/>
      <c r="HB42" s="31"/>
      <c r="HC42" s="31"/>
      <c r="HD42" s="31"/>
      <c r="HE42" s="31"/>
      <c r="HF42" s="31"/>
      <c r="HG42" s="31"/>
      <c r="HH42" s="31"/>
      <c r="HI42" s="31"/>
      <c r="HJ42" s="31"/>
      <c r="HK42" s="31"/>
      <c r="HL42" s="31"/>
      <c r="HM42" s="31"/>
      <c r="HN42" s="31"/>
      <c r="HO42" s="31"/>
      <c r="HP42" s="31"/>
      <c r="HQ42" s="31"/>
      <c r="HR42" s="31"/>
      <c r="HS42" s="31"/>
      <c r="HT42" s="31"/>
      <c r="HU42" s="31"/>
      <c r="HV42" s="31"/>
      <c r="HW42" s="31"/>
      <c r="HX42" s="31"/>
      <c r="HY42" s="31"/>
      <c r="HZ42" s="31"/>
      <c r="IA42" s="31"/>
      <c r="IB42" s="31"/>
      <c r="IC42" s="31"/>
      <c r="ID42" s="31"/>
      <c r="IE42" s="31"/>
      <c r="IF42" s="31"/>
      <c r="IG42" s="31"/>
      <c r="IH42" s="31"/>
      <c r="II42" s="31"/>
      <c r="IJ42" s="31"/>
      <c r="IK42" s="31"/>
      <c r="IL42" s="31"/>
      <c r="IM42" s="31"/>
      <c r="IN42" s="31"/>
      <c r="IO42" s="31"/>
      <c r="IP42" s="31"/>
      <c r="IQ42" s="31"/>
      <c r="IR42" s="31"/>
      <c r="IS42" s="31"/>
      <c r="IT42" s="31"/>
    </row>
    <row r="43" s="41" customFormat="1" customHeight="1" spans="1:254">
      <c r="A43" s="53">
        <v>37</v>
      </c>
      <c r="B43" s="53"/>
      <c r="C43" s="9" t="s">
        <v>89</v>
      </c>
      <c r="D43" s="13" t="s">
        <v>120</v>
      </c>
      <c r="E43" s="53"/>
      <c r="F43" s="53"/>
      <c r="G43" s="9" t="s">
        <v>69</v>
      </c>
      <c r="H43" s="12">
        <v>1</v>
      </c>
      <c r="I43" s="25">
        <v>82450</v>
      </c>
      <c r="J43" s="12"/>
      <c r="K43" s="65">
        <v>7400</v>
      </c>
      <c r="L43" s="69">
        <v>0.03</v>
      </c>
      <c r="M43" s="67">
        <f t="shared" si="1"/>
        <v>222</v>
      </c>
      <c r="N43" s="53"/>
      <c r="O43" s="53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  <c r="FG43" s="31"/>
      <c r="FH43" s="31"/>
      <c r="FI43" s="31"/>
      <c r="FJ43" s="31"/>
      <c r="FK43" s="31"/>
      <c r="FL43" s="31"/>
      <c r="FM43" s="31"/>
      <c r="FN43" s="31"/>
      <c r="FO43" s="31"/>
      <c r="FP43" s="31"/>
      <c r="FQ43" s="31"/>
      <c r="FR43" s="31"/>
      <c r="FS43" s="31"/>
      <c r="FT43" s="31"/>
      <c r="FU43" s="31"/>
      <c r="FV43" s="31"/>
      <c r="FW43" s="31"/>
      <c r="FX43" s="31"/>
      <c r="FY43" s="31"/>
      <c r="FZ43" s="31"/>
      <c r="GA43" s="31"/>
      <c r="GB43" s="31"/>
      <c r="GC43" s="31"/>
      <c r="GD43" s="31"/>
      <c r="GE43" s="31"/>
      <c r="GF43" s="31"/>
      <c r="GG43" s="31"/>
      <c r="GH43" s="31"/>
      <c r="GI43" s="31"/>
      <c r="GJ43" s="31"/>
      <c r="GK43" s="31"/>
      <c r="GL43" s="31"/>
      <c r="GM43" s="31"/>
      <c r="GN43" s="31"/>
      <c r="GO43" s="31"/>
      <c r="GP43" s="31"/>
      <c r="GQ43" s="31"/>
      <c r="GR43" s="31"/>
      <c r="GS43" s="31"/>
      <c r="GT43" s="31"/>
      <c r="GU43" s="31"/>
      <c r="GV43" s="31"/>
      <c r="GW43" s="31"/>
      <c r="GX43" s="31"/>
      <c r="GY43" s="31"/>
      <c r="GZ43" s="31"/>
      <c r="HA43" s="31"/>
      <c r="HB43" s="31"/>
      <c r="HC43" s="31"/>
      <c r="HD43" s="31"/>
      <c r="HE43" s="31"/>
      <c r="HF43" s="31"/>
      <c r="HG43" s="31"/>
      <c r="HH43" s="31"/>
      <c r="HI43" s="31"/>
      <c r="HJ43" s="31"/>
      <c r="HK43" s="31"/>
      <c r="HL43" s="31"/>
      <c r="HM43" s="31"/>
      <c r="HN43" s="31"/>
      <c r="HO43" s="31"/>
      <c r="HP43" s="31"/>
      <c r="HQ43" s="31"/>
      <c r="HR43" s="31"/>
      <c r="HS43" s="31"/>
      <c r="HT43" s="31"/>
      <c r="HU43" s="31"/>
      <c r="HV43" s="31"/>
      <c r="HW43" s="31"/>
      <c r="HX43" s="31"/>
      <c r="HY43" s="31"/>
      <c r="HZ43" s="31"/>
      <c r="IA43" s="31"/>
      <c r="IB43" s="31"/>
      <c r="IC43" s="31"/>
      <c r="ID43" s="31"/>
      <c r="IE43" s="31"/>
      <c r="IF43" s="31"/>
      <c r="IG43" s="31"/>
      <c r="IH43" s="31"/>
      <c r="II43" s="31"/>
      <c r="IJ43" s="31"/>
      <c r="IK43" s="31"/>
      <c r="IL43" s="31"/>
      <c r="IM43" s="31"/>
      <c r="IN43" s="31"/>
      <c r="IO43" s="31"/>
      <c r="IP43" s="31"/>
      <c r="IQ43" s="31"/>
      <c r="IR43" s="31"/>
      <c r="IS43" s="31"/>
      <c r="IT43" s="31"/>
    </row>
    <row r="44" s="41" customFormat="1" customHeight="1" spans="1:254">
      <c r="A44" s="53">
        <v>38</v>
      </c>
      <c r="B44" s="53"/>
      <c r="C44" s="9" t="s">
        <v>89</v>
      </c>
      <c r="D44" s="13" t="s">
        <v>121</v>
      </c>
      <c r="E44" s="53"/>
      <c r="F44" s="53"/>
      <c r="G44" s="9" t="s">
        <v>122</v>
      </c>
      <c r="H44" s="12">
        <v>9</v>
      </c>
      <c r="I44" s="25">
        <f>24950*9</f>
        <v>224550</v>
      </c>
      <c r="J44" s="12"/>
      <c r="K44" s="65">
        <f>7400*H44</f>
        <v>66600</v>
      </c>
      <c r="L44" s="69">
        <v>0.03</v>
      </c>
      <c r="M44" s="67">
        <f t="shared" si="1"/>
        <v>1998</v>
      </c>
      <c r="N44" s="53"/>
      <c r="O44" s="53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  <c r="FF44" s="31"/>
      <c r="FG44" s="31"/>
      <c r="FH44" s="31"/>
      <c r="FI44" s="31"/>
      <c r="FJ44" s="31"/>
      <c r="FK44" s="31"/>
      <c r="FL44" s="31"/>
      <c r="FM44" s="31"/>
      <c r="FN44" s="31"/>
      <c r="FO44" s="31"/>
      <c r="FP44" s="31"/>
      <c r="FQ44" s="31"/>
      <c r="FR44" s="31"/>
      <c r="FS44" s="31"/>
      <c r="FT44" s="31"/>
      <c r="FU44" s="31"/>
      <c r="FV44" s="31"/>
      <c r="FW44" s="31"/>
      <c r="FX44" s="31"/>
      <c r="FY44" s="31"/>
      <c r="FZ44" s="31"/>
      <c r="GA44" s="31"/>
      <c r="GB44" s="31"/>
      <c r="GC44" s="31"/>
      <c r="GD44" s="31"/>
      <c r="GE44" s="31"/>
      <c r="GF44" s="31"/>
      <c r="GG44" s="31"/>
      <c r="GH44" s="31"/>
      <c r="GI44" s="31"/>
      <c r="GJ44" s="31"/>
      <c r="GK44" s="31"/>
      <c r="GL44" s="31"/>
      <c r="GM44" s="31"/>
      <c r="GN44" s="31"/>
      <c r="GO44" s="31"/>
      <c r="GP44" s="31"/>
      <c r="GQ44" s="31"/>
      <c r="GR44" s="31"/>
      <c r="GS44" s="31"/>
      <c r="GT44" s="31"/>
      <c r="GU44" s="31"/>
      <c r="GV44" s="31"/>
      <c r="GW44" s="31"/>
      <c r="GX44" s="31"/>
      <c r="GY44" s="31"/>
      <c r="GZ44" s="31"/>
      <c r="HA44" s="31"/>
      <c r="HB44" s="31"/>
      <c r="HC44" s="31"/>
      <c r="HD44" s="31"/>
      <c r="HE44" s="31"/>
      <c r="HF44" s="31"/>
      <c r="HG44" s="31"/>
      <c r="HH44" s="31"/>
      <c r="HI44" s="31"/>
      <c r="HJ44" s="31"/>
      <c r="HK44" s="31"/>
      <c r="HL44" s="31"/>
      <c r="HM44" s="31"/>
      <c r="HN44" s="31"/>
      <c r="HO44" s="31"/>
      <c r="HP44" s="31"/>
      <c r="HQ44" s="31"/>
      <c r="HR44" s="31"/>
      <c r="HS44" s="31"/>
      <c r="HT44" s="31"/>
      <c r="HU44" s="31"/>
      <c r="HV44" s="31"/>
      <c r="HW44" s="31"/>
      <c r="HX44" s="31"/>
      <c r="HY44" s="31"/>
      <c r="HZ44" s="31"/>
      <c r="IA44" s="31"/>
      <c r="IB44" s="31"/>
      <c r="IC44" s="31"/>
      <c r="ID44" s="31"/>
      <c r="IE44" s="31"/>
      <c r="IF44" s="31"/>
      <c r="IG44" s="31"/>
      <c r="IH44" s="31"/>
      <c r="II44" s="31"/>
      <c r="IJ44" s="31"/>
      <c r="IK44" s="31"/>
      <c r="IL44" s="31"/>
      <c r="IM44" s="31"/>
      <c r="IN44" s="31"/>
      <c r="IO44" s="31"/>
      <c r="IP44" s="31"/>
      <c r="IQ44" s="31"/>
      <c r="IR44" s="31"/>
      <c r="IS44" s="31"/>
      <c r="IT44" s="31"/>
    </row>
    <row r="45" s="41" customFormat="1" customHeight="1" spans="1:254">
      <c r="A45" s="53">
        <v>39</v>
      </c>
      <c r="B45" s="53"/>
      <c r="C45" s="9" t="s">
        <v>89</v>
      </c>
      <c r="D45" s="13" t="s">
        <v>121</v>
      </c>
      <c r="E45" s="53"/>
      <c r="F45" s="53"/>
      <c r="G45" s="9" t="s">
        <v>122</v>
      </c>
      <c r="H45" s="12">
        <v>3</v>
      </c>
      <c r="I45" s="25">
        <f>46950*3</f>
        <v>140850</v>
      </c>
      <c r="J45" s="12"/>
      <c r="K45" s="65">
        <f>7400*H45</f>
        <v>22200</v>
      </c>
      <c r="L45" s="69">
        <v>0.03</v>
      </c>
      <c r="M45" s="67">
        <f t="shared" si="1"/>
        <v>666</v>
      </c>
      <c r="N45" s="53"/>
      <c r="O45" s="53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  <c r="DZ45" s="31"/>
      <c r="EA45" s="31"/>
      <c r="EB45" s="31"/>
      <c r="EC45" s="31"/>
      <c r="ED45" s="31"/>
      <c r="EE45" s="31"/>
      <c r="EF45" s="31"/>
      <c r="EG45" s="31"/>
      <c r="EH45" s="31"/>
      <c r="EI45" s="31"/>
      <c r="EJ45" s="31"/>
      <c r="EK45" s="31"/>
      <c r="EL45" s="31"/>
      <c r="EM45" s="31"/>
      <c r="EN45" s="31"/>
      <c r="EO45" s="31"/>
      <c r="EP45" s="31"/>
      <c r="EQ45" s="31"/>
      <c r="ER45" s="31"/>
      <c r="ES45" s="31"/>
      <c r="ET45" s="31"/>
      <c r="EU45" s="31"/>
      <c r="EV45" s="31"/>
      <c r="EW45" s="31"/>
      <c r="EX45" s="31"/>
      <c r="EY45" s="31"/>
      <c r="EZ45" s="31"/>
      <c r="FA45" s="31"/>
      <c r="FB45" s="31"/>
      <c r="FC45" s="31"/>
      <c r="FD45" s="31"/>
      <c r="FE45" s="31"/>
      <c r="FF45" s="31"/>
      <c r="FG45" s="31"/>
      <c r="FH45" s="31"/>
      <c r="FI45" s="31"/>
      <c r="FJ45" s="31"/>
      <c r="FK45" s="31"/>
      <c r="FL45" s="31"/>
      <c r="FM45" s="31"/>
      <c r="FN45" s="31"/>
      <c r="FO45" s="31"/>
      <c r="FP45" s="31"/>
      <c r="FQ45" s="31"/>
      <c r="FR45" s="31"/>
      <c r="FS45" s="31"/>
      <c r="FT45" s="31"/>
      <c r="FU45" s="31"/>
      <c r="FV45" s="31"/>
      <c r="FW45" s="31"/>
      <c r="FX45" s="31"/>
      <c r="FY45" s="31"/>
      <c r="FZ45" s="31"/>
      <c r="GA45" s="31"/>
      <c r="GB45" s="31"/>
      <c r="GC45" s="31"/>
      <c r="GD45" s="31"/>
      <c r="GE45" s="31"/>
      <c r="GF45" s="31"/>
      <c r="GG45" s="31"/>
      <c r="GH45" s="31"/>
      <c r="GI45" s="31"/>
      <c r="GJ45" s="31"/>
      <c r="GK45" s="31"/>
      <c r="GL45" s="31"/>
      <c r="GM45" s="31"/>
      <c r="GN45" s="31"/>
      <c r="GO45" s="31"/>
      <c r="GP45" s="31"/>
      <c r="GQ45" s="31"/>
      <c r="GR45" s="31"/>
      <c r="GS45" s="31"/>
      <c r="GT45" s="31"/>
      <c r="GU45" s="31"/>
      <c r="GV45" s="31"/>
      <c r="GW45" s="31"/>
      <c r="GX45" s="31"/>
      <c r="GY45" s="31"/>
      <c r="GZ45" s="31"/>
      <c r="HA45" s="31"/>
      <c r="HB45" s="31"/>
      <c r="HC45" s="31"/>
      <c r="HD45" s="31"/>
      <c r="HE45" s="31"/>
      <c r="HF45" s="31"/>
      <c r="HG45" s="31"/>
      <c r="HH45" s="31"/>
      <c r="HI45" s="31"/>
      <c r="HJ45" s="31"/>
      <c r="HK45" s="31"/>
      <c r="HL45" s="31"/>
      <c r="HM45" s="31"/>
      <c r="HN45" s="31"/>
      <c r="HO45" s="31"/>
      <c r="HP45" s="31"/>
      <c r="HQ45" s="31"/>
      <c r="HR45" s="31"/>
      <c r="HS45" s="31"/>
      <c r="HT45" s="31"/>
      <c r="HU45" s="31"/>
      <c r="HV45" s="31"/>
      <c r="HW45" s="31"/>
      <c r="HX45" s="31"/>
      <c r="HY45" s="31"/>
      <c r="HZ45" s="31"/>
      <c r="IA45" s="31"/>
      <c r="IB45" s="31"/>
      <c r="IC45" s="31"/>
      <c r="ID45" s="31"/>
      <c r="IE45" s="31"/>
      <c r="IF45" s="31"/>
      <c r="IG45" s="31"/>
      <c r="IH45" s="31"/>
      <c r="II45" s="31"/>
      <c r="IJ45" s="31"/>
      <c r="IK45" s="31"/>
      <c r="IL45" s="31"/>
      <c r="IM45" s="31"/>
      <c r="IN45" s="31"/>
      <c r="IO45" s="31"/>
      <c r="IP45" s="31"/>
      <c r="IQ45" s="31"/>
      <c r="IR45" s="31"/>
      <c r="IS45" s="31"/>
      <c r="IT45" s="31"/>
    </row>
    <row r="46" s="41" customFormat="1" customHeight="1" spans="1:254">
      <c r="A46" s="53">
        <v>40</v>
      </c>
      <c r="B46" s="53"/>
      <c r="C46" s="9" t="s">
        <v>123</v>
      </c>
      <c r="D46" s="13" t="s">
        <v>124</v>
      </c>
      <c r="E46" s="53"/>
      <c r="F46" s="53"/>
      <c r="G46" s="9" t="s">
        <v>122</v>
      </c>
      <c r="H46" s="12">
        <v>1</v>
      </c>
      <c r="I46" s="25">
        <v>255200</v>
      </c>
      <c r="J46" s="12"/>
      <c r="K46" s="65">
        <v>132000</v>
      </c>
      <c r="L46" s="69">
        <v>0.01</v>
      </c>
      <c r="M46" s="67">
        <f t="shared" si="1"/>
        <v>1320</v>
      </c>
      <c r="N46" s="53"/>
      <c r="O46" s="53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/>
      <c r="EE46" s="31"/>
      <c r="EF46" s="31"/>
      <c r="EG46" s="31"/>
      <c r="EH46" s="31"/>
      <c r="EI46" s="31"/>
      <c r="EJ46" s="31"/>
      <c r="EK46" s="31"/>
      <c r="EL46" s="31"/>
      <c r="EM46" s="31"/>
      <c r="EN46" s="31"/>
      <c r="EO46" s="31"/>
      <c r="EP46" s="31"/>
      <c r="EQ46" s="31"/>
      <c r="ER46" s="31"/>
      <c r="ES46" s="31"/>
      <c r="ET46" s="31"/>
      <c r="EU46" s="31"/>
      <c r="EV46" s="31"/>
      <c r="EW46" s="31"/>
      <c r="EX46" s="31"/>
      <c r="EY46" s="31"/>
      <c r="EZ46" s="31"/>
      <c r="FA46" s="31"/>
      <c r="FB46" s="31"/>
      <c r="FC46" s="31"/>
      <c r="FD46" s="31"/>
      <c r="FE46" s="31"/>
      <c r="FF46" s="31"/>
      <c r="FG46" s="31"/>
      <c r="FH46" s="31"/>
      <c r="FI46" s="31"/>
      <c r="FJ46" s="31"/>
      <c r="FK46" s="31"/>
      <c r="FL46" s="31"/>
      <c r="FM46" s="31"/>
      <c r="FN46" s="31"/>
      <c r="FO46" s="31"/>
      <c r="FP46" s="31"/>
      <c r="FQ46" s="31"/>
      <c r="FR46" s="31"/>
      <c r="FS46" s="31"/>
      <c r="FT46" s="31"/>
      <c r="FU46" s="31"/>
      <c r="FV46" s="31"/>
      <c r="FW46" s="31"/>
      <c r="FX46" s="31"/>
      <c r="FY46" s="31"/>
      <c r="FZ46" s="31"/>
      <c r="GA46" s="31"/>
      <c r="GB46" s="31"/>
      <c r="GC46" s="31"/>
      <c r="GD46" s="31"/>
      <c r="GE46" s="31"/>
      <c r="GF46" s="31"/>
      <c r="GG46" s="31"/>
      <c r="GH46" s="31"/>
      <c r="GI46" s="31"/>
      <c r="GJ46" s="31"/>
      <c r="GK46" s="31"/>
      <c r="GL46" s="31"/>
      <c r="GM46" s="31"/>
      <c r="GN46" s="31"/>
      <c r="GO46" s="31"/>
      <c r="GP46" s="31"/>
      <c r="GQ46" s="31"/>
      <c r="GR46" s="31"/>
      <c r="GS46" s="31"/>
      <c r="GT46" s="31"/>
      <c r="GU46" s="31"/>
      <c r="GV46" s="31"/>
      <c r="GW46" s="31"/>
      <c r="GX46" s="31"/>
      <c r="GY46" s="31"/>
      <c r="GZ46" s="31"/>
      <c r="HA46" s="31"/>
      <c r="HB46" s="31"/>
      <c r="HC46" s="31"/>
      <c r="HD46" s="31"/>
      <c r="HE46" s="31"/>
      <c r="HF46" s="31"/>
      <c r="HG46" s="31"/>
      <c r="HH46" s="31"/>
      <c r="HI46" s="31"/>
      <c r="HJ46" s="31"/>
      <c r="HK46" s="31"/>
      <c r="HL46" s="31"/>
      <c r="HM46" s="31"/>
      <c r="HN46" s="31"/>
      <c r="HO46" s="31"/>
      <c r="HP46" s="31"/>
      <c r="HQ46" s="31"/>
      <c r="HR46" s="31"/>
      <c r="HS46" s="31"/>
      <c r="HT46" s="31"/>
      <c r="HU46" s="31"/>
      <c r="HV46" s="31"/>
      <c r="HW46" s="31"/>
      <c r="HX46" s="31"/>
      <c r="HY46" s="31"/>
      <c r="HZ46" s="31"/>
      <c r="IA46" s="31"/>
      <c r="IB46" s="31"/>
      <c r="IC46" s="31"/>
      <c r="ID46" s="31"/>
      <c r="IE46" s="31"/>
      <c r="IF46" s="31"/>
      <c r="IG46" s="31"/>
      <c r="IH46" s="31"/>
      <c r="II46" s="31"/>
      <c r="IJ46" s="31"/>
      <c r="IK46" s="31"/>
      <c r="IL46" s="31"/>
      <c r="IM46" s="31"/>
      <c r="IN46" s="31"/>
      <c r="IO46" s="31"/>
      <c r="IP46" s="31"/>
      <c r="IQ46" s="31"/>
      <c r="IR46" s="31"/>
      <c r="IS46" s="31"/>
      <c r="IT46" s="31"/>
    </row>
    <row r="47" s="41" customFormat="1" customHeight="1" spans="1:254">
      <c r="A47" s="53">
        <v>41</v>
      </c>
      <c r="B47" s="53"/>
      <c r="C47" s="9" t="s">
        <v>84</v>
      </c>
      <c r="D47" s="13" t="s">
        <v>125</v>
      </c>
      <c r="E47" s="53"/>
      <c r="F47" s="53"/>
      <c r="G47" s="9" t="s">
        <v>122</v>
      </c>
      <c r="H47" s="12">
        <v>1</v>
      </c>
      <c r="I47" s="25">
        <v>2400</v>
      </c>
      <c r="J47" s="12"/>
      <c r="K47" s="65">
        <v>2000</v>
      </c>
      <c r="L47" s="69">
        <v>0.03</v>
      </c>
      <c r="M47" s="67">
        <f t="shared" si="1"/>
        <v>60</v>
      </c>
      <c r="N47" s="53"/>
      <c r="O47" s="53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1"/>
      <c r="EU47" s="31"/>
      <c r="EV47" s="31"/>
      <c r="EW47" s="31"/>
      <c r="EX47" s="31"/>
      <c r="EY47" s="31"/>
      <c r="EZ47" s="31"/>
      <c r="FA47" s="31"/>
      <c r="FB47" s="31"/>
      <c r="FC47" s="31"/>
      <c r="FD47" s="31"/>
      <c r="FE47" s="31"/>
      <c r="FF47" s="31"/>
      <c r="FG47" s="31"/>
      <c r="FH47" s="31"/>
      <c r="FI47" s="31"/>
      <c r="FJ47" s="31"/>
      <c r="FK47" s="31"/>
      <c r="FL47" s="31"/>
      <c r="FM47" s="31"/>
      <c r="FN47" s="31"/>
      <c r="FO47" s="31"/>
      <c r="FP47" s="31"/>
      <c r="FQ47" s="31"/>
      <c r="FR47" s="31"/>
      <c r="FS47" s="31"/>
      <c r="FT47" s="31"/>
      <c r="FU47" s="31"/>
      <c r="FV47" s="31"/>
      <c r="FW47" s="31"/>
      <c r="FX47" s="31"/>
      <c r="FY47" s="31"/>
      <c r="FZ47" s="31"/>
      <c r="GA47" s="31"/>
      <c r="GB47" s="31"/>
      <c r="GC47" s="31"/>
      <c r="GD47" s="31"/>
      <c r="GE47" s="31"/>
      <c r="GF47" s="31"/>
      <c r="GG47" s="31"/>
      <c r="GH47" s="31"/>
      <c r="GI47" s="31"/>
      <c r="GJ47" s="31"/>
      <c r="GK47" s="31"/>
      <c r="GL47" s="31"/>
      <c r="GM47" s="31"/>
      <c r="GN47" s="31"/>
      <c r="GO47" s="31"/>
      <c r="GP47" s="31"/>
      <c r="GQ47" s="31"/>
      <c r="GR47" s="31"/>
      <c r="GS47" s="31"/>
      <c r="GT47" s="31"/>
      <c r="GU47" s="31"/>
      <c r="GV47" s="31"/>
      <c r="GW47" s="31"/>
      <c r="GX47" s="31"/>
      <c r="GY47" s="31"/>
      <c r="GZ47" s="31"/>
      <c r="HA47" s="31"/>
      <c r="HB47" s="31"/>
      <c r="HC47" s="31"/>
      <c r="HD47" s="31"/>
      <c r="HE47" s="31"/>
      <c r="HF47" s="31"/>
      <c r="HG47" s="31"/>
      <c r="HH47" s="31"/>
      <c r="HI47" s="31"/>
      <c r="HJ47" s="31"/>
      <c r="HK47" s="31"/>
      <c r="HL47" s="31"/>
      <c r="HM47" s="31"/>
      <c r="HN47" s="31"/>
      <c r="HO47" s="31"/>
      <c r="HP47" s="31"/>
      <c r="HQ47" s="31"/>
      <c r="HR47" s="31"/>
      <c r="HS47" s="31"/>
      <c r="HT47" s="31"/>
      <c r="HU47" s="31"/>
      <c r="HV47" s="31"/>
      <c r="HW47" s="31"/>
      <c r="HX47" s="31"/>
      <c r="HY47" s="31"/>
      <c r="HZ47" s="31"/>
      <c r="IA47" s="31"/>
      <c r="IB47" s="31"/>
      <c r="IC47" s="31"/>
      <c r="ID47" s="31"/>
      <c r="IE47" s="31"/>
      <c r="IF47" s="31"/>
      <c r="IG47" s="31"/>
      <c r="IH47" s="31"/>
      <c r="II47" s="31"/>
      <c r="IJ47" s="31"/>
      <c r="IK47" s="31"/>
      <c r="IL47" s="31"/>
      <c r="IM47" s="31"/>
      <c r="IN47" s="31"/>
      <c r="IO47" s="31"/>
      <c r="IP47" s="31"/>
      <c r="IQ47" s="31"/>
      <c r="IR47" s="31"/>
      <c r="IS47" s="31"/>
      <c r="IT47" s="31"/>
    </row>
    <row r="48" s="41" customFormat="1" customHeight="1" spans="1:254">
      <c r="A48" s="53">
        <v>42</v>
      </c>
      <c r="B48" s="53"/>
      <c r="C48" s="9" t="s">
        <v>84</v>
      </c>
      <c r="D48" s="13" t="s">
        <v>126</v>
      </c>
      <c r="E48" s="53"/>
      <c r="F48" s="53"/>
      <c r="G48" s="9" t="s">
        <v>53</v>
      </c>
      <c r="H48" s="12">
        <v>1</v>
      </c>
      <c r="I48" s="25">
        <v>1400</v>
      </c>
      <c r="J48" s="12"/>
      <c r="K48" s="65">
        <v>1100</v>
      </c>
      <c r="L48" s="66">
        <v>0.03</v>
      </c>
      <c r="M48" s="67">
        <f t="shared" si="1"/>
        <v>33</v>
      </c>
      <c r="N48" s="53"/>
      <c r="O48" s="53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1"/>
      <c r="FG48" s="31"/>
      <c r="FH48" s="31"/>
      <c r="FI48" s="31"/>
      <c r="FJ48" s="31"/>
      <c r="FK48" s="31"/>
      <c r="FL48" s="31"/>
      <c r="FM48" s="31"/>
      <c r="FN48" s="31"/>
      <c r="FO48" s="31"/>
      <c r="FP48" s="31"/>
      <c r="FQ48" s="31"/>
      <c r="FR48" s="31"/>
      <c r="FS48" s="31"/>
      <c r="FT48" s="31"/>
      <c r="FU48" s="31"/>
      <c r="FV48" s="31"/>
      <c r="FW48" s="31"/>
      <c r="FX48" s="31"/>
      <c r="FY48" s="31"/>
      <c r="FZ48" s="31"/>
      <c r="GA48" s="31"/>
      <c r="GB48" s="31"/>
      <c r="GC48" s="31"/>
      <c r="GD48" s="31"/>
      <c r="GE48" s="31"/>
      <c r="GF48" s="31"/>
      <c r="GG48" s="31"/>
      <c r="GH48" s="31"/>
      <c r="GI48" s="31"/>
      <c r="GJ48" s="31"/>
      <c r="GK48" s="31"/>
      <c r="GL48" s="31"/>
      <c r="GM48" s="31"/>
      <c r="GN48" s="31"/>
      <c r="GO48" s="31"/>
      <c r="GP48" s="31"/>
      <c r="GQ48" s="31"/>
      <c r="GR48" s="31"/>
      <c r="GS48" s="31"/>
      <c r="GT48" s="31"/>
      <c r="GU48" s="31"/>
      <c r="GV48" s="31"/>
      <c r="GW48" s="31"/>
      <c r="GX48" s="31"/>
      <c r="GY48" s="31"/>
      <c r="GZ48" s="31"/>
      <c r="HA48" s="31"/>
      <c r="HB48" s="31"/>
      <c r="HC48" s="31"/>
      <c r="HD48" s="31"/>
      <c r="HE48" s="31"/>
      <c r="HF48" s="31"/>
      <c r="HG48" s="31"/>
      <c r="HH48" s="31"/>
      <c r="HI48" s="31"/>
      <c r="HJ48" s="31"/>
      <c r="HK48" s="31"/>
      <c r="HL48" s="31"/>
      <c r="HM48" s="31"/>
      <c r="HN48" s="31"/>
      <c r="HO48" s="31"/>
      <c r="HP48" s="31"/>
      <c r="HQ48" s="31"/>
      <c r="HR48" s="31"/>
      <c r="HS48" s="31"/>
      <c r="HT48" s="31"/>
      <c r="HU48" s="31"/>
      <c r="HV48" s="31"/>
      <c r="HW48" s="31"/>
      <c r="HX48" s="31"/>
      <c r="HY48" s="31"/>
      <c r="HZ48" s="31"/>
      <c r="IA48" s="31"/>
      <c r="IB48" s="31"/>
      <c r="IC48" s="31"/>
      <c r="ID48" s="31"/>
      <c r="IE48" s="31"/>
      <c r="IF48" s="31"/>
      <c r="IG48" s="31"/>
      <c r="IH48" s="31"/>
      <c r="II48" s="31"/>
      <c r="IJ48" s="31"/>
      <c r="IK48" s="31"/>
      <c r="IL48" s="31"/>
      <c r="IM48" s="31"/>
      <c r="IN48" s="31"/>
      <c r="IO48" s="31"/>
      <c r="IP48" s="31"/>
      <c r="IQ48" s="31"/>
      <c r="IR48" s="31"/>
      <c r="IS48" s="31"/>
      <c r="IT48" s="31"/>
    </row>
    <row r="49" s="31" customFormat="1" customHeight="1" spans="1:15">
      <c r="A49" s="53">
        <v>43</v>
      </c>
      <c r="B49" s="11"/>
      <c r="C49" s="9" t="s">
        <v>51</v>
      </c>
      <c r="D49" s="13" t="s">
        <v>127</v>
      </c>
      <c r="E49" s="11"/>
      <c r="F49" s="12"/>
      <c r="G49" s="9" t="s">
        <v>128</v>
      </c>
      <c r="H49" s="11">
        <v>1</v>
      </c>
      <c r="I49" s="25">
        <v>4800</v>
      </c>
      <c r="J49" s="25"/>
      <c r="K49" s="22">
        <v>3800</v>
      </c>
      <c r="L49" s="66">
        <v>0.03</v>
      </c>
      <c r="M49" s="67">
        <f t="shared" si="1"/>
        <v>114</v>
      </c>
      <c r="N49" s="11"/>
      <c r="O49" s="11"/>
    </row>
    <row r="50" s="31" customFormat="1" customHeight="1" spans="1:15">
      <c r="A50" s="53">
        <v>44</v>
      </c>
      <c r="B50" s="11"/>
      <c r="C50" s="9" t="s">
        <v>129</v>
      </c>
      <c r="D50" s="13" t="s">
        <v>130</v>
      </c>
      <c r="E50" s="11"/>
      <c r="F50" s="12"/>
      <c r="G50" s="9" t="s">
        <v>131</v>
      </c>
      <c r="H50" s="11">
        <v>1</v>
      </c>
      <c r="I50" s="25">
        <v>1800</v>
      </c>
      <c r="J50" s="25"/>
      <c r="K50" s="22">
        <v>1050</v>
      </c>
      <c r="L50" s="66">
        <v>0.02</v>
      </c>
      <c r="M50" s="67">
        <f t="shared" si="1"/>
        <v>21</v>
      </c>
      <c r="N50" s="11"/>
      <c r="O50" s="11"/>
    </row>
    <row r="51" s="31" customFormat="1" customHeight="1" spans="1:15">
      <c r="A51" s="53">
        <v>45</v>
      </c>
      <c r="B51" s="11"/>
      <c r="C51" s="9" t="s">
        <v>129</v>
      </c>
      <c r="D51" s="13" t="s">
        <v>132</v>
      </c>
      <c r="E51" s="11"/>
      <c r="F51" s="12"/>
      <c r="G51" s="9" t="s">
        <v>131</v>
      </c>
      <c r="H51" s="11">
        <v>2</v>
      </c>
      <c r="I51" s="25">
        <f>4800*2</f>
        <v>9600</v>
      </c>
      <c r="J51" s="25"/>
      <c r="K51" s="22">
        <v>5000</v>
      </c>
      <c r="L51" s="66">
        <v>0.02</v>
      </c>
      <c r="M51" s="67">
        <f t="shared" si="1"/>
        <v>100</v>
      </c>
      <c r="N51" s="11"/>
      <c r="O51" s="11"/>
    </row>
    <row r="52" s="31" customFormat="1" customHeight="1" spans="1:15">
      <c r="A52" s="53">
        <v>46</v>
      </c>
      <c r="B52" s="11"/>
      <c r="C52" s="9" t="s">
        <v>129</v>
      </c>
      <c r="D52" s="13" t="s">
        <v>133</v>
      </c>
      <c r="E52" s="11"/>
      <c r="F52" s="12"/>
      <c r="G52" s="9" t="s">
        <v>134</v>
      </c>
      <c r="H52" s="11">
        <v>1</v>
      </c>
      <c r="I52" s="25">
        <v>2840</v>
      </c>
      <c r="J52" s="25"/>
      <c r="K52" s="22">
        <v>1850</v>
      </c>
      <c r="L52" s="66">
        <v>0.02</v>
      </c>
      <c r="M52" s="67">
        <f t="shared" si="1"/>
        <v>37</v>
      </c>
      <c r="N52" s="11"/>
      <c r="O52" s="11"/>
    </row>
    <row r="53" s="31" customFormat="1" customHeight="1" spans="1:15">
      <c r="A53" s="53">
        <v>47</v>
      </c>
      <c r="B53" s="11"/>
      <c r="C53" s="9" t="s">
        <v>135</v>
      </c>
      <c r="D53" s="13" t="s">
        <v>136</v>
      </c>
      <c r="E53" s="11"/>
      <c r="F53" s="12"/>
      <c r="G53" s="9" t="s">
        <v>137</v>
      </c>
      <c r="H53" s="11">
        <v>2</v>
      </c>
      <c r="I53" s="25">
        <f>7800*2</f>
        <v>15600</v>
      </c>
      <c r="J53" s="25"/>
      <c r="K53" s="65">
        <v>10000</v>
      </c>
      <c r="L53" s="69">
        <v>0.03</v>
      </c>
      <c r="M53" s="67">
        <f t="shared" si="1"/>
        <v>300</v>
      </c>
      <c r="N53" s="11"/>
      <c r="O53" s="11"/>
    </row>
    <row r="54" s="31" customFormat="1" customHeight="1" spans="1:15">
      <c r="A54" s="53">
        <v>48</v>
      </c>
      <c r="B54" s="11"/>
      <c r="C54" s="9" t="s">
        <v>138</v>
      </c>
      <c r="D54" s="13" t="s">
        <v>139</v>
      </c>
      <c r="E54" s="11"/>
      <c r="F54" s="12"/>
      <c r="G54" s="9" t="s">
        <v>128</v>
      </c>
      <c r="H54" s="11">
        <v>4</v>
      </c>
      <c r="I54" s="25">
        <f>750*4</f>
        <v>3000</v>
      </c>
      <c r="J54" s="25"/>
      <c r="K54" s="22">
        <f>180*4</f>
        <v>720</v>
      </c>
      <c r="L54" s="12"/>
      <c r="M54" s="67">
        <f t="shared" si="1"/>
        <v>0</v>
      </c>
      <c r="N54" s="11"/>
      <c r="O54" s="11" t="s">
        <v>140</v>
      </c>
    </row>
    <row r="55" s="31" customFormat="1" customHeight="1" spans="1:15">
      <c r="A55" s="53">
        <v>49</v>
      </c>
      <c r="B55" s="11"/>
      <c r="C55" s="9" t="s">
        <v>51</v>
      </c>
      <c r="D55" s="13" t="s">
        <v>127</v>
      </c>
      <c r="E55" s="11"/>
      <c r="F55" s="12"/>
      <c r="G55" s="9" t="s">
        <v>128</v>
      </c>
      <c r="H55" s="11">
        <v>1</v>
      </c>
      <c r="I55" s="25">
        <v>4800</v>
      </c>
      <c r="J55" s="25"/>
      <c r="K55" s="22">
        <v>3800</v>
      </c>
      <c r="L55" s="66">
        <v>0.03</v>
      </c>
      <c r="M55" s="67">
        <f t="shared" si="1"/>
        <v>114</v>
      </c>
      <c r="N55" s="11"/>
      <c r="O55" s="11"/>
    </row>
    <row r="56" s="31" customFormat="1" customHeight="1" spans="1:15">
      <c r="A56" s="53">
        <v>50</v>
      </c>
      <c r="B56" s="11"/>
      <c r="C56" s="9" t="s">
        <v>141</v>
      </c>
      <c r="D56" s="13" t="s">
        <v>142</v>
      </c>
      <c r="E56" s="11"/>
      <c r="F56" s="12"/>
      <c r="G56" s="9" t="s">
        <v>143</v>
      </c>
      <c r="H56" s="11">
        <v>1</v>
      </c>
      <c r="I56" s="25">
        <v>2100</v>
      </c>
      <c r="J56" s="25"/>
      <c r="K56" s="22">
        <f>I56*0.8</f>
        <v>1680</v>
      </c>
      <c r="L56" s="66">
        <v>0.05</v>
      </c>
      <c r="M56" s="67">
        <f t="shared" si="1"/>
        <v>84</v>
      </c>
      <c r="N56" s="11"/>
      <c r="O56" s="11"/>
    </row>
    <row r="57" s="31" customFormat="1" customHeight="1" spans="1:15">
      <c r="A57" s="53">
        <v>51</v>
      </c>
      <c r="B57" s="11"/>
      <c r="C57" s="9" t="s">
        <v>51</v>
      </c>
      <c r="D57" s="13" t="s">
        <v>144</v>
      </c>
      <c r="E57" s="11"/>
      <c r="F57" s="12"/>
      <c r="G57" s="9" t="s">
        <v>131</v>
      </c>
      <c r="H57" s="11">
        <v>1</v>
      </c>
      <c r="I57" s="25">
        <v>5000</v>
      </c>
      <c r="J57" s="25"/>
      <c r="K57" s="22">
        <v>3800</v>
      </c>
      <c r="L57" s="66">
        <v>0.02</v>
      </c>
      <c r="M57" s="67">
        <f t="shared" si="1"/>
        <v>76</v>
      </c>
      <c r="N57" s="11"/>
      <c r="O57" s="11"/>
    </row>
    <row r="58" s="31" customFormat="1" customHeight="1" spans="1:15">
      <c r="A58" s="53">
        <v>52</v>
      </c>
      <c r="B58" s="11"/>
      <c r="C58" s="9" t="s">
        <v>73</v>
      </c>
      <c r="D58" s="13" t="s">
        <v>145</v>
      </c>
      <c r="E58" s="11"/>
      <c r="F58" s="12"/>
      <c r="G58" s="9" t="s">
        <v>131</v>
      </c>
      <c r="H58" s="11">
        <v>3</v>
      </c>
      <c r="I58" s="25">
        <f>5800*3</f>
        <v>17400</v>
      </c>
      <c r="J58" s="25"/>
      <c r="K58" s="22">
        <f>4600*3</f>
        <v>13800</v>
      </c>
      <c r="L58" s="66">
        <v>0.02</v>
      </c>
      <c r="M58" s="67">
        <f t="shared" si="1"/>
        <v>276</v>
      </c>
      <c r="N58" s="11"/>
      <c r="O58" s="11"/>
    </row>
    <row r="59" s="31" customFormat="1" customHeight="1" spans="1:15">
      <c r="A59" s="53">
        <v>53</v>
      </c>
      <c r="B59" s="11"/>
      <c r="C59" s="9" t="s">
        <v>73</v>
      </c>
      <c r="D59" s="13" t="s">
        <v>146</v>
      </c>
      <c r="E59" s="11"/>
      <c r="F59" s="12"/>
      <c r="G59" s="9" t="s">
        <v>131</v>
      </c>
      <c r="H59" s="11">
        <v>1</v>
      </c>
      <c r="I59" s="25">
        <v>5450</v>
      </c>
      <c r="J59" s="25"/>
      <c r="K59" s="22">
        <v>4300</v>
      </c>
      <c r="L59" s="66">
        <v>0.02</v>
      </c>
      <c r="M59" s="67">
        <f t="shared" si="1"/>
        <v>86</v>
      </c>
      <c r="N59" s="11"/>
      <c r="O59" s="11"/>
    </row>
    <row r="60" s="31" customFormat="1" customHeight="1" spans="1:15">
      <c r="A60" s="53">
        <v>54</v>
      </c>
      <c r="B60" s="11"/>
      <c r="C60" s="9" t="s">
        <v>147</v>
      </c>
      <c r="D60" s="13" t="s">
        <v>148</v>
      </c>
      <c r="E60" s="11"/>
      <c r="F60" s="12"/>
      <c r="G60" s="9" t="s">
        <v>149</v>
      </c>
      <c r="H60" s="11">
        <v>20</v>
      </c>
      <c r="I60" s="25">
        <f>886*20</f>
        <v>17720</v>
      </c>
      <c r="J60" s="25"/>
      <c r="K60" s="22">
        <f>400*H60</f>
        <v>8000</v>
      </c>
      <c r="L60" s="66">
        <v>0.02</v>
      </c>
      <c r="M60" s="67">
        <f t="shared" si="1"/>
        <v>160</v>
      </c>
      <c r="N60" s="11"/>
      <c r="O60" s="11"/>
    </row>
    <row r="61" s="31" customFormat="1" customHeight="1" spans="1:15">
      <c r="A61" s="53">
        <v>55</v>
      </c>
      <c r="B61" s="11"/>
      <c r="C61" s="9" t="s">
        <v>135</v>
      </c>
      <c r="D61" s="13" t="s">
        <v>150</v>
      </c>
      <c r="E61" s="11"/>
      <c r="F61" s="12"/>
      <c r="G61" s="9" t="s">
        <v>151</v>
      </c>
      <c r="H61" s="11">
        <v>2</v>
      </c>
      <c r="I61" s="25">
        <f>8400*2</f>
        <v>16800</v>
      </c>
      <c r="J61" s="25"/>
      <c r="K61" s="22">
        <f>4900*2</f>
        <v>9800</v>
      </c>
      <c r="L61" s="66">
        <v>0.02</v>
      </c>
      <c r="M61" s="67">
        <f t="shared" si="1"/>
        <v>196</v>
      </c>
      <c r="N61" s="11"/>
      <c r="O61" s="11"/>
    </row>
    <row r="62" s="31" customFormat="1" customHeight="1" spans="1:15">
      <c r="A62" s="53">
        <v>56</v>
      </c>
      <c r="B62" s="11"/>
      <c r="C62" s="9" t="s">
        <v>152</v>
      </c>
      <c r="D62" s="13" t="s">
        <v>153</v>
      </c>
      <c r="E62" s="11"/>
      <c r="F62" s="12"/>
      <c r="G62" s="9" t="s">
        <v>154</v>
      </c>
      <c r="H62" s="11">
        <v>1</v>
      </c>
      <c r="I62" s="25">
        <v>4580</v>
      </c>
      <c r="J62" s="25"/>
      <c r="K62" s="22">
        <v>3500</v>
      </c>
      <c r="L62" s="66">
        <v>0.03</v>
      </c>
      <c r="M62" s="67">
        <f t="shared" si="1"/>
        <v>105</v>
      </c>
      <c r="N62" s="11"/>
      <c r="O62" s="11"/>
    </row>
    <row r="63" s="31" customFormat="1" customHeight="1" spans="1:15">
      <c r="A63" s="53">
        <v>57</v>
      </c>
      <c r="B63" s="11"/>
      <c r="C63" s="9" t="s">
        <v>155</v>
      </c>
      <c r="D63" s="13" t="s">
        <v>77</v>
      </c>
      <c r="E63" s="11"/>
      <c r="F63" s="12"/>
      <c r="G63" s="9" t="s">
        <v>156</v>
      </c>
      <c r="H63" s="11">
        <v>1</v>
      </c>
      <c r="I63" s="25">
        <v>2480</v>
      </c>
      <c r="J63" s="25"/>
      <c r="K63" s="22">
        <v>900</v>
      </c>
      <c r="L63" s="66">
        <v>0.01</v>
      </c>
      <c r="M63" s="67">
        <f t="shared" si="1"/>
        <v>9</v>
      </c>
      <c r="N63" s="11"/>
      <c r="O63" s="11"/>
    </row>
    <row r="64" s="31" customFormat="1" customHeight="1" spans="1:15">
      <c r="A64" s="53">
        <v>58</v>
      </c>
      <c r="B64" s="11"/>
      <c r="C64" s="9" t="s">
        <v>157</v>
      </c>
      <c r="D64" s="13" t="s">
        <v>158</v>
      </c>
      <c r="E64" s="11"/>
      <c r="F64" s="12"/>
      <c r="G64" s="9" t="s">
        <v>159</v>
      </c>
      <c r="H64" s="11">
        <v>1</v>
      </c>
      <c r="I64" s="25">
        <v>1150</v>
      </c>
      <c r="J64" s="25"/>
      <c r="K64" s="22">
        <v>600</v>
      </c>
      <c r="L64" s="66">
        <v>0.01</v>
      </c>
      <c r="M64" s="67">
        <f t="shared" si="1"/>
        <v>6</v>
      </c>
      <c r="N64" s="11"/>
      <c r="O64" s="11"/>
    </row>
    <row r="65" s="31" customFormat="1" customHeight="1" spans="1:15">
      <c r="A65" s="53">
        <v>59</v>
      </c>
      <c r="B65" s="11"/>
      <c r="C65" s="9" t="s">
        <v>160</v>
      </c>
      <c r="D65" s="13" t="s">
        <v>161</v>
      </c>
      <c r="E65" s="11"/>
      <c r="F65" s="12"/>
      <c r="G65" s="9" t="s">
        <v>69</v>
      </c>
      <c r="H65" s="11">
        <v>2</v>
      </c>
      <c r="I65" s="25">
        <f>1050*2</f>
        <v>2100</v>
      </c>
      <c r="J65" s="25"/>
      <c r="K65" s="65">
        <f>800*H65</f>
        <v>1600</v>
      </c>
      <c r="L65" s="69">
        <v>0.03</v>
      </c>
      <c r="M65" s="67">
        <f t="shared" si="1"/>
        <v>48</v>
      </c>
      <c r="N65" s="11"/>
      <c r="O65" s="11"/>
    </row>
    <row r="66" s="31" customFormat="1" customHeight="1" spans="1:15">
      <c r="A66" s="53">
        <v>60</v>
      </c>
      <c r="B66" s="11"/>
      <c r="C66" s="9" t="s">
        <v>162</v>
      </c>
      <c r="D66" s="13" t="s">
        <v>163</v>
      </c>
      <c r="E66" s="11"/>
      <c r="F66" s="12"/>
      <c r="G66" s="9" t="s">
        <v>164</v>
      </c>
      <c r="H66" s="11">
        <v>1</v>
      </c>
      <c r="I66" s="25">
        <v>3000</v>
      </c>
      <c r="J66" s="25"/>
      <c r="K66" s="22">
        <v>2200</v>
      </c>
      <c r="L66" s="66">
        <v>0.03</v>
      </c>
      <c r="M66" s="67">
        <f t="shared" si="1"/>
        <v>66</v>
      </c>
      <c r="N66" s="11"/>
      <c r="O66" s="11"/>
    </row>
    <row r="67" s="31" customFormat="1" customHeight="1" spans="1:15">
      <c r="A67" s="53">
        <v>61</v>
      </c>
      <c r="B67" s="11"/>
      <c r="C67" s="9" t="s">
        <v>165</v>
      </c>
      <c r="D67" s="13" t="s">
        <v>166</v>
      </c>
      <c r="E67" s="11"/>
      <c r="F67" s="12"/>
      <c r="G67" s="9" t="s">
        <v>86</v>
      </c>
      <c r="H67" s="11">
        <v>7</v>
      </c>
      <c r="I67" s="25">
        <f>3500*7</f>
        <v>24500</v>
      </c>
      <c r="J67" s="25"/>
      <c r="K67" s="22">
        <f>2600*H67</f>
        <v>18200</v>
      </c>
      <c r="L67" s="66">
        <v>0.03</v>
      </c>
      <c r="M67" s="67">
        <f t="shared" si="1"/>
        <v>546</v>
      </c>
      <c r="N67" s="11"/>
      <c r="O67" s="11"/>
    </row>
    <row r="68" s="31" customFormat="1" customHeight="1" spans="1:15">
      <c r="A68" s="53">
        <v>62</v>
      </c>
      <c r="B68" s="11"/>
      <c r="C68" s="9" t="s">
        <v>165</v>
      </c>
      <c r="D68" s="13" t="s">
        <v>167</v>
      </c>
      <c r="E68" s="11"/>
      <c r="F68" s="12"/>
      <c r="G68" s="9" t="s">
        <v>86</v>
      </c>
      <c r="H68" s="11">
        <v>12</v>
      </c>
      <c r="I68" s="25">
        <f>3500*12</f>
        <v>42000</v>
      </c>
      <c r="J68" s="25"/>
      <c r="K68" s="22">
        <f>2600*12</f>
        <v>31200</v>
      </c>
      <c r="L68" s="66">
        <v>0.03</v>
      </c>
      <c r="M68" s="67">
        <f t="shared" si="1"/>
        <v>936</v>
      </c>
      <c r="N68" s="11"/>
      <c r="O68" s="11"/>
    </row>
    <row r="69" s="31" customFormat="1" customHeight="1" spans="1:15">
      <c r="A69" s="53">
        <v>63</v>
      </c>
      <c r="B69" s="11"/>
      <c r="C69" s="9" t="s">
        <v>168</v>
      </c>
      <c r="D69" s="13" t="s">
        <v>169</v>
      </c>
      <c r="E69" s="11"/>
      <c r="F69" s="12"/>
      <c r="G69" s="9" t="s">
        <v>69</v>
      </c>
      <c r="H69" s="11">
        <v>2</v>
      </c>
      <c r="I69" s="25">
        <v>3200</v>
      </c>
      <c r="J69" s="25"/>
      <c r="K69" s="65">
        <v>2600</v>
      </c>
      <c r="L69" s="69">
        <v>0.03</v>
      </c>
      <c r="M69" s="67">
        <f t="shared" si="1"/>
        <v>78</v>
      </c>
      <c r="N69" s="11"/>
      <c r="O69" s="11"/>
    </row>
    <row r="70" s="31" customFormat="1" customHeight="1" spans="1:15">
      <c r="A70" s="53">
        <v>64</v>
      </c>
      <c r="B70" s="11"/>
      <c r="C70" s="9" t="s">
        <v>170</v>
      </c>
      <c r="D70" s="13" t="s">
        <v>171</v>
      </c>
      <c r="E70" s="11"/>
      <c r="F70" s="12"/>
      <c r="G70" s="9" t="s">
        <v>69</v>
      </c>
      <c r="H70" s="11">
        <v>2</v>
      </c>
      <c r="I70" s="25">
        <f>8300*2</f>
        <v>16600</v>
      </c>
      <c r="J70" s="25"/>
      <c r="K70" s="65">
        <v>14000</v>
      </c>
      <c r="L70" s="69">
        <v>0.03</v>
      </c>
      <c r="M70" s="67">
        <f t="shared" si="1"/>
        <v>420</v>
      </c>
      <c r="N70" s="11"/>
      <c r="O70" s="11"/>
    </row>
    <row r="71" s="31" customFormat="1" customHeight="1" spans="1:15">
      <c r="A71" s="53">
        <v>65</v>
      </c>
      <c r="B71" s="11"/>
      <c r="C71" s="9" t="s">
        <v>165</v>
      </c>
      <c r="D71" s="13" t="s">
        <v>172</v>
      </c>
      <c r="E71" s="11"/>
      <c r="F71" s="12"/>
      <c r="G71" s="9" t="s">
        <v>69</v>
      </c>
      <c r="H71" s="11">
        <v>4</v>
      </c>
      <c r="I71" s="25">
        <f>3889*4</f>
        <v>15556</v>
      </c>
      <c r="J71" s="25"/>
      <c r="K71" s="65">
        <f>3100*4</f>
        <v>12400</v>
      </c>
      <c r="L71" s="69">
        <v>0.03</v>
      </c>
      <c r="M71" s="67">
        <f t="shared" si="1"/>
        <v>372</v>
      </c>
      <c r="N71" s="11"/>
      <c r="O71" s="11"/>
    </row>
    <row r="72" s="31" customFormat="1" customHeight="1" spans="1:15">
      <c r="A72" s="53">
        <v>66</v>
      </c>
      <c r="B72" s="11"/>
      <c r="C72" s="9" t="s">
        <v>173</v>
      </c>
      <c r="D72" s="13" t="s">
        <v>174</v>
      </c>
      <c r="E72" s="11"/>
      <c r="F72" s="12"/>
      <c r="G72" s="9" t="s">
        <v>69</v>
      </c>
      <c r="H72" s="11">
        <v>2</v>
      </c>
      <c r="I72" s="25">
        <f>6720*2</f>
        <v>13440</v>
      </c>
      <c r="J72" s="25"/>
      <c r="K72" s="65">
        <v>10600</v>
      </c>
      <c r="L72" s="69">
        <v>0.03</v>
      </c>
      <c r="M72" s="67">
        <f t="shared" ref="M72:M103" si="2">K72*L72</f>
        <v>318</v>
      </c>
      <c r="N72" s="11"/>
      <c r="O72" s="11"/>
    </row>
    <row r="73" s="31" customFormat="1" customHeight="1" spans="1:15">
      <c r="A73" s="53">
        <v>67</v>
      </c>
      <c r="B73" s="11"/>
      <c r="C73" s="9" t="s">
        <v>175</v>
      </c>
      <c r="D73" s="13" t="s">
        <v>176</v>
      </c>
      <c r="E73" s="11"/>
      <c r="F73" s="12"/>
      <c r="G73" s="9" t="s">
        <v>122</v>
      </c>
      <c r="H73" s="11">
        <v>1</v>
      </c>
      <c r="I73" s="25">
        <v>179000</v>
      </c>
      <c r="J73" s="25"/>
      <c r="K73" s="65">
        <v>35000</v>
      </c>
      <c r="L73" s="69">
        <v>0.01</v>
      </c>
      <c r="M73" s="67">
        <f t="shared" si="2"/>
        <v>350</v>
      </c>
      <c r="N73" s="11"/>
      <c r="O73" s="11"/>
    </row>
    <row r="74" s="31" customFormat="1" customHeight="1" spans="1:15">
      <c r="A74" s="53">
        <v>68</v>
      </c>
      <c r="B74" s="11"/>
      <c r="C74" s="9" t="s">
        <v>116</v>
      </c>
      <c r="D74" s="13" t="s">
        <v>177</v>
      </c>
      <c r="E74" s="11"/>
      <c r="F74" s="12"/>
      <c r="G74" s="9" t="s">
        <v>164</v>
      </c>
      <c r="H74" s="11">
        <v>1</v>
      </c>
      <c r="I74" s="25">
        <v>40000</v>
      </c>
      <c r="J74" s="25"/>
      <c r="K74" s="22">
        <f>34000</f>
        <v>34000</v>
      </c>
      <c r="L74" s="66">
        <v>0.01</v>
      </c>
      <c r="M74" s="67">
        <f t="shared" si="2"/>
        <v>340</v>
      </c>
      <c r="N74" s="11"/>
      <c r="O74" s="11"/>
    </row>
    <row r="75" s="31" customFormat="1" customHeight="1" spans="1:15">
      <c r="A75" s="53">
        <v>69</v>
      </c>
      <c r="B75" s="11"/>
      <c r="C75" s="9" t="s">
        <v>135</v>
      </c>
      <c r="D75" s="13" t="s">
        <v>178</v>
      </c>
      <c r="E75" s="11"/>
      <c r="F75" s="12"/>
      <c r="G75" s="9" t="s">
        <v>69</v>
      </c>
      <c r="H75" s="11">
        <v>2</v>
      </c>
      <c r="I75" s="25">
        <f>4980*2</f>
        <v>9960</v>
      </c>
      <c r="J75" s="25"/>
      <c r="K75" s="65">
        <f>3900*2</f>
        <v>7800</v>
      </c>
      <c r="L75" s="69">
        <v>0.03</v>
      </c>
      <c r="M75" s="67">
        <f t="shared" si="2"/>
        <v>234</v>
      </c>
      <c r="N75" s="11"/>
      <c r="O75" s="11"/>
    </row>
    <row r="76" s="31" customFormat="1" customHeight="1" spans="1:15">
      <c r="A76" s="53">
        <v>70</v>
      </c>
      <c r="B76" s="11"/>
      <c r="C76" s="9" t="s">
        <v>135</v>
      </c>
      <c r="D76" s="13" t="s">
        <v>179</v>
      </c>
      <c r="E76" s="11"/>
      <c r="F76" s="12"/>
      <c r="G76" s="9" t="s">
        <v>180</v>
      </c>
      <c r="H76" s="11">
        <v>1</v>
      </c>
      <c r="I76" s="25">
        <v>6500</v>
      </c>
      <c r="J76" s="25"/>
      <c r="K76" s="65">
        <v>5100</v>
      </c>
      <c r="L76" s="69">
        <v>0.03</v>
      </c>
      <c r="M76" s="67">
        <f t="shared" si="2"/>
        <v>153</v>
      </c>
      <c r="N76" s="11"/>
      <c r="O76" s="11"/>
    </row>
    <row r="77" s="31" customFormat="1" customHeight="1" spans="1:15">
      <c r="A77" s="53">
        <v>71</v>
      </c>
      <c r="B77" s="11"/>
      <c r="C77" s="9" t="s">
        <v>181</v>
      </c>
      <c r="D77" s="13" t="s">
        <v>182</v>
      </c>
      <c r="E77" s="11"/>
      <c r="F77" s="12"/>
      <c r="G77" s="9" t="s">
        <v>183</v>
      </c>
      <c r="H77" s="11">
        <v>3</v>
      </c>
      <c r="I77" s="25">
        <v>2100</v>
      </c>
      <c r="J77" s="25"/>
      <c r="K77" s="22">
        <f>1200</f>
        <v>1200</v>
      </c>
      <c r="L77" s="12"/>
      <c r="M77" s="67">
        <f t="shared" si="2"/>
        <v>0</v>
      </c>
      <c r="N77" s="11"/>
      <c r="O77" s="11" t="s">
        <v>140</v>
      </c>
    </row>
    <row r="78" s="31" customFormat="1" customHeight="1" spans="1:15">
      <c r="A78" s="53">
        <v>72</v>
      </c>
      <c r="B78" s="11"/>
      <c r="C78" s="9" t="s">
        <v>184</v>
      </c>
      <c r="D78" s="13" t="s">
        <v>185</v>
      </c>
      <c r="E78" s="11"/>
      <c r="F78" s="12"/>
      <c r="G78" s="9" t="s">
        <v>58</v>
      </c>
      <c r="H78" s="11">
        <v>1</v>
      </c>
      <c r="I78" s="25">
        <v>1160</v>
      </c>
      <c r="J78" s="25"/>
      <c r="K78" s="22">
        <v>900</v>
      </c>
      <c r="L78" s="66">
        <v>0.03</v>
      </c>
      <c r="M78" s="67">
        <f t="shared" si="2"/>
        <v>27</v>
      </c>
      <c r="N78" s="11"/>
      <c r="O78" s="11"/>
    </row>
    <row r="79" s="31" customFormat="1" customHeight="1" spans="1:15">
      <c r="A79" s="53">
        <v>73</v>
      </c>
      <c r="B79" s="11"/>
      <c r="C79" s="9" t="s">
        <v>129</v>
      </c>
      <c r="D79" s="13" t="s">
        <v>186</v>
      </c>
      <c r="E79" s="11"/>
      <c r="F79" s="12"/>
      <c r="G79" s="9" t="s">
        <v>187</v>
      </c>
      <c r="H79" s="11">
        <v>1</v>
      </c>
      <c r="I79" s="25">
        <v>1200</v>
      </c>
      <c r="J79" s="25"/>
      <c r="K79" s="22">
        <v>1000</v>
      </c>
      <c r="L79" s="66">
        <v>0.05</v>
      </c>
      <c r="M79" s="67">
        <f t="shared" si="2"/>
        <v>50</v>
      </c>
      <c r="N79" s="11"/>
      <c r="O79" s="11"/>
    </row>
    <row r="80" s="31" customFormat="1" customHeight="1" spans="1:15">
      <c r="A80" s="53">
        <v>74</v>
      </c>
      <c r="B80" s="11"/>
      <c r="C80" s="9" t="s">
        <v>188</v>
      </c>
      <c r="D80" s="13" t="s">
        <v>189</v>
      </c>
      <c r="E80" s="11"/>
      <c r="F80" s="12"/>
      <c r="G80" s="9" t="s">
        <v>190</v>
      </c>
      <c r="H80" s="12">
        <v>1</v>
      </c>
      <c r="I80" s="25">
        <v>5300</v>
      </c>
      <c r="J80" s="25"/>
      <c r="K80" s="22">
        <v>4200</v>
      </c>
      <c r="L80" s="66">
        <v>0.03</v>
      </c>
      <c r="M80" s="67">
        <f t="shared" si="2"/>
        <v>126</v>
      </c>
      <c r="N80" s="11"/>
      <c r="O80" s="11"/>
    </row>
    <row r="81" s="31" customFormat="1" customHeight="1" spans="1:15">
      <c r="A81" s="53">
        <v>75</v>
      </c>
      <c r="B81" s="11"/>
      <c r="C81" s="9" t="s">
        <v>73</v>
      </c>
      <c r="D81" s="13" t="s">
        <v>191</v>
      </c>
      <c r="E81" s="11"/>
      <c r="F81" s="12"/>
      <c r="G81" s="9" t="s">
        <v>93</v>
      </c>
      <c r="H81" s="11">
        <v>2</v>
      </c>
      <c r="I81" s="25">
        <f>4429*2</f>
        <v>8858</v>
      </c>
      <c r="J81" s="25"/>
      <c r="K81" s="22">
        <f>3600*H81</f>
        <v>7200</v>
      </c>
      <c r="L81" s="66">
        <v>0.03</v>
      </c>
      <c r="M81" s="67">
        <f t="shared" si="2"/>
        <v>216</v>
      </c>
      <c r="N81" s="11"/>
      <c r="O81" s="11"/>
    </row>
    <row r="82" s="31" customFormat="1" customHeight="1" spans="1:15">
      <c r="A82" s="53">
        <v>76</v>
      </c>
      <c r="B82" s="11"/>
      <c r="C82" s="9" t="s">
        <v>138</v>
      </c>
      <c r="D82" s="13" t="s">
        <v>192</v>
      </c>
      <c r="E82" s="11"/>
      <c r="F82" s="12"/>
      <c r="G82" s="9" t="s">
        <v>193</v>
      </c>
      <c r="H82" s="11">
        <v>2</v>
      </c>
      <c r="I82" s="25">
        <f>550*2</f>
        <v>1100</v>
      </c>
      <c r="J82" s="25"/>
      <c r="K82" s="22">
        <v>800</v>
      </c>
      <c r="L82" s="12"/>
      <c r="M82" s="67">
        <f t="shared" si="2"/>
        <v>0</v>
      </c>
      <c r="N82" s="11"/>
      <c r="O82" s="11" t="s">
        <v>140</v>
      </c>
    </row>
    <row r="83" s="31" customFormat="1" customHeight="1" spans="1:15">
      <c r="A83" s="53">
        <v>77</v>
      </c>
      <c r="B83" s="11"/>
      <c r="C83" s="9" t="s">
        <v>138</v>
      </c>
      <c r="D83" s="13" t="s">
        <v>194</v>
      </c>
      <c r="E83" s="11"/>
      <c r="F83" s="12"/>
      <c r="G83" s="9" t="s">
        <v>193</v>
      </c>
      <c r="H83" s="11">
        <v>1</v>
      </c>
      <c r="I83" s="25">
        <v>550</v>
      </c>
      <c r="J83" s="25"/>
      <c r="K83" s="22">
        <v>400</v>
      </c>
      <c r="L83" s="12"/>
      <c r="M83" s="67">
        <f t="shared" si="2"/>
        <v>0</v>
      </c>
      <c r="N83" s="11"/>
      <c r="O83" s="11" t="s">
        <v>140</v>
      </c>
    </row>
    <row r="84" s="31" customFormat="1" customHeight="1" spans="1:15">
      <c r="A84" s="53">
        <v>78</v>
      </c>
      <c r="B84" s="11"/>
      <c r="C84" s="9" t="s">
        <v>195</v>
      </c>
      <c r="D84" s="13" t="s">
        <v>196</v>
      </c>
      <c r="E84" s="11"/>
      <c r="F84" s="12"/>
      <c r="G84" s="9" t="s">
        <v>193</v>
      </c>
      <c r="H84" s="11">
        <v>1</v>
      </c>
      <c r="I84" s="25">
        <v>520</v>
      </c>
      <c r="J84" s="25"/>
      <c r="K84" s="22">
        <v>400</v>
      </c>
      <c r="L84" s="12"/>
      <c r="M84" s="67">
        <f t="shared" si="2"/>
        <v>0</v>
      </c>
      <c r="N84" s="11"/>
      <c r="O84" s="11" t="s">
        <v>140</v>
      </c>
    </row>
    <row r="85" s="31" customFormat="1" customHeight="1" spans="1:15">
      <c r="A85" s="53">
        <v>79</v>
      </c>
      <c r="B85" s="11"/>
      <c r="C85" s="9" t="s">
        <v>197</v>
      </c>
      <c r="D85" s="13" t="s">
        <v>198</v>
      </c>
      <c r="E85" s="11"/>
      <c r="F85" s="12"/>
      <c r="G85" s="9" t="s">
        <v>193</v>
      </c>
      <c r="H85" s="11">
        <v>1</v>
      </c>
      <c r="I85" s="25">
        <v>219000</v>
      </c>
      <c r="J85" s="25"/>
      <c r="K85" s="22">
        <v>186400</v>
      </c>
      <c r="L85" s="66"/>
      <c r="M85" s="67">
        <f t="shared" si="2"/>
        <v>0</v>
      </c>
      <c r="N85" s="11"/>
      <c r="O85" s="11" t="s">
        <v>140</v>
      </c>
    </row>
    <row r="86" s="31" customFormat="1" customHeight="1" spans="1:15">
      <c r="A86" s="53">
        <v>80</v>
      </c>
      <c r="B86" s="11"/>
      <c r="C86" s="9" t="s">
        <v>199</v>
      </c>
      <c r="D86" s="13" t="s">
        <v>200</v>
      </c>
      <c r="E86" s="11"/>
      <c r="F86" s="12"/>
      <c r="G86" s="9" t="s">
        <v>201</v>
      </c>
      <c r="H86" s="12">
        <v>4</v>
      </c>
      <c r="I86" s="25">
        <f>595*4</f>
        <v>2380</v>
      </c>
      <c r="J86" s="25"/>
      <c r="K86" s="22">
        <v>1680</v>
      </c>
      <c r="L86" s="66">
        <v>0.03</v>
      </c>
      <c r="M86" s="67">
        <f t="shared" si="2"/>
        <v>50.4</v>
      </c>
      <c r="N86" s="11"/>
      <c r="O86" s="11"/>
    </row>
    <row r="87" s="31" customFormat="1" customHeight="1" spans="1:15">
      <c r="A87" s="53">
        <v>81</v>
      </c>
      <c r="B87" s="11"/>
      <c r="C87" s="9" t="s">
        <v>202</v>
      </c>
      <c r="D87" s="13" t="s">
        <v>77</v>
      </c>
      <c r="E87" s="11"/>
      <c r="F87" s="12"/>
      <c r="G87" s="9" t="s">
        <v>201</v>
      </c>
      <c r="H87" s="12">
        <v>1</v>
      </c>
      <c r="I87" s="25">
        <v>2870</v>
      </c>
      <c r="J87" s="25"/>
      <c r="K87" s="22">
        <v>1600</v>
      </c>
      <c r="L87" s="66">
        <v>0.03</v>
      </c>
      <c r="M87" s="67">
        <f t="shared" si="2"/>
        <v>48</v>
      </c>
      <c r="N87" s="11"/>
      <c r="O87" s="11"/>
    </row>
    <row r="88" s="31" customFormat="1" customHeight="1" spans="1:15">
      <c r="A88" s="53">
        <v>82</v>
      </c>
      <c r="B88" s="11"/>
      <c r="C88" s="9" t="s">
        <v>203</v>
      </c>
      <c r="D88" s="13" t="s">
        <v>204</v>
      </c>
      <c r="E88" s="11"/>
      <c r="F88" s="12"/>
      <c r="G88" s="9" t="s">
        <v>201</v>
      </c>
      <c r="H88" s="12">
        <v>1</v>
      </c>
      <c r="I88" s="25">
        <v>235</v>
      </c>
      <c r="J88" s="25"/>
      <c r="K88" s="22">
        <v>180</v>
      </c>
      <c r="L88" s="66"/>
      <c r="M88" s="67">
        <f t="shared" si="2"/>
        <v>0</v>
      </c>
      <c r="N88" s="11"/>
      <c r="O88" s="11" t="s">
        <v>140</v>
      </c>
    </row>
    <row r="89" s="31" customFormat="1" customHeight="1" spans="1:15">
      <c r="A89" s="53">
        <v>83</v>
      </c>
      <c r="B89" s="11"/>
      <c r="C89" s="9" t="s">
        <v>205</v>
      </c>
      <c r="D89" s="13" t="s">
        <v>206</v>
      </c>
      <c r="E89" s="11"/>
      <c r="F89" s="12"/>
      <c r="G89" s="9" t="s">
        <v>58</v>
      </c>
      <c r="H89" s="11">
        <v>1</v>
      </c>
      <c r="I89" s="25">
        <v>16000</v>
      </c>
      <c r="J89" s="25"/>
      <c r="K89" s="22">
        <v>10800</v>
      </c>
      <c r="L89" s="66">
        <v>0.03</v>
      </c>
      <c r="M89" s="67">
        <f t="shared" si="2"/>
        <v>324</v>
      </c>
      <c r="N89" s="11"/>
      <c r="O89" s="11"/>
    </row>
    <row r="90" s="31" customFormat="1" customHeight="1" spans="1:15">
      <c r="A90" s="53">
        <v>84</v>
      </c>
      <c r="B90" s="11"/>
      <c r="C90" s="9" t="s">
        <v>207</v>
      </c>
      <c r="D90" s="13" t="s">
        <v>208</v>
      </c>
      <c r="E90" s="11"/>
      <c r="F90" s="12"/>
      <c r="G90" s="9" t="s">
        <v>58</v>
      </c>
      <c r="H90" s="11">
        <v>100</v>
      </c>
      <c r="I90" s="25">
        <f>1180*100</f>
        <v>118000</v>
      </c>
      <c r="J90" s="25"/>
      <c r="K90" s="22">
        <f>900*100</f>
        <v>90000</v>
      </c>
      <c r="L90" s="66">
        <v>0.01</v>
      </c>
      <c r="M90" s="67">
        <f t="shared" si="2"/>
        <v>900</v>
      </c>
      <c r="N90" s="11"/>
      <c r="O90" s="11"/>
    </row>
    <row r="91" s="31" customFormat="1" customHeight="1" spans="1:15">
      <c r="A91" s="53">
        <v>85</v>
      </c>
      <c r="B91" s="11"/>
      <c r="C91" s="9" t="s">
        <v>209</v>
      </c>
      <c r="D91" s="13" t="s">
        <v>210</v>
      </c>
      <c r="E91" s="11"/>
      <c r="F91" s="12"/>
      <c r="G91" s="9" t="s">
        <v>58</v>
      </c>
      <c r="H91" s="11">
        <v>1</v>
      </c>
      <c r="I91" s="25">
        <v>4600</v>
      </c>
      <c r="J91" s="25"/>
      <c r="K91" s="22">
        <v>3400</v>
      </c>
      <c r="L91" s="66">
        <v>0.03</v>
      </c>
      <c r="M91" s="67">
        <f t="shared" si="2"/>
        <v>102</v>
      </c>
      <c r="N91" s="11"/>
      <c r="O91" s="11"/>
    </row>
    <row r="92" s="31" customFormat="1" customHeight="1" spans="1:15">
      <c r="A92" s="53">
        <v>86</v>
      </c>
      <c r="B92" s="11"/>
      <c r="C92" s="9" t="s">
        <v>211</v>
      </c>
      <c r="D92" s="13" t="s">
        <v>212</v>
      </c>
      <c r="E92" s="11"/>
      <c r="F92" s="12"/>
      <c r="G92" s="9" t="s">
        <v>58</v>
      </c>
      <c r="H92" s="11">
        <v>1</v>
      </c>
      <c r="I92" s="25">
        <v>1800</v>
      </c>
      <c r="J92" s="25"/>
      <c r="K92" s="22">
        <v>1350</v>
      </c>
      <c r="L92" s="66">
        <v>0.03</v>
      </c>
      <c r="M92" s="67">
        <f t="shared" si="2"/>
        <v>40.5</v>
      </c>
      <c r="N92" s="11"/>
      <c r="O92" s="11"/>
    </row>
    <row r="93" s="31" customFormat="1" customHeight="1" spans="1:15">
      <c r="A93" s="53">
        <v>87</v>
      </c>
      <c r="B93" s="11"/>
      <c r="C93" s="9" t="s">
        <v>213</v>
      </c>
      <c r="D93" s="13" t="s">
        <v>214</v>
      </c>
      <c r="E93" s="11"/>
      <c r="F93" s="12"/>
      <c r="G93" s="9" t="s">
        <v>58</v>
      </c>
      <c r="H93" s="11">
        <v>6</v>
      </c>
      <c r="I93" s="25">
        <f>3000*6</f>
        <v>18000</v>
      </c>
      <c r="J93" s="25"/>
      <c r="K93" s="22">
        <f>2200*6</f>
        <v>13200</v>
      </c>
      <c r="L93" s="66">
        <v>0.03</v>
      </c>
      <c r="M93" s="67">
        <f t="shared" si="2"/>
        <v>396</v>
      </c>
      <c r="N93" s="11"/>
      <c r="O93" s="11"/>
    </row>
    <row r="94" s="31" customFormat="1" customHeight="1" spans="1:15">
      <c r="A94" s="53">
        <v>88</v>
      </c>
      <c r="B94" s="11"/>
      <c r="C94" s="9" t="s">
        <v>215</v>
      </c>
      <c r="D94" s="13" t="s">
        <v>216</v>
      </c>
      <c r="E94" s="11"/>
      <c r="F94" s="12"/>
      <c r="G94" s="9" t="s">
        <v>58</v>
      </c>
      <c r="H94" s="11">
        <v>1</v>
      </c>
      <c r="I94" s="25">
        <v>4900</v>
      </c>
      <c r="J94" s="25"/>
      <c r="K94" s="22">
        <v>4200</v>
      </c>
      <c r="L94" s="66">
        <v>0.03</v>
      </c>
      <c r="M94" s="67">
        <f t="shared" si="2"/>
        <v>126</v>
      </c>
      <c r="N94" s="11"/>
      <c r="O94" s="11"/>
    </row>
    <row r="95" s="31" customFormat="1" customHeight="1" spans="1:15">
      <c r="A95" s="53">
        <v>89</v>
      </c>
      <c r="B95" s="11"/>
      <c r="C95" s="9" t="s">
        <v>217</v>
      </c>
      <c r="D95" s="13" t="s">
        <v>218</v>
      </c>
      <c r="E95" s="11"/>
      <c r="F95" s="12"/>
      <c r="G95" s="9" t="s">
        <v>58</v>
      </c>
      <c r="H95" s="11">
        <v>2</v>
      </c>
      <c r="I95" s="25">
        <f>1170*2</f>
        <v>2340</v>
      </c>
      <c r="J95" s="25"/>
      <c r="K95" s="22">
        <v>1800</v>
      </c>
      <c r="L95" s="66">
        <v>0.03</v>
      </c>
      <c r="M95" s="67">
        <f t="shared" si="2"/>
        <v>54</v>
      </c>
      <c r="N95" s="11"/>
      <c r="O95" s="11"/>
    </row>
    <row r="96" s="31" customFormat="1" customHeight="1" spans="1:15">
      <c r="A96" s="53">
        <v>90</v>
      </c>
      <c r="B96" s="11"/>
      <c r="C96" s="9" t="s">
        <v>63</v>
      </c>
      <c r="D96" s="13" t="s">
        <v>219</v>
      </c>
      <c r="E96" s="11"/>
      <c r="F96" s="12"/>
      <c r="G96" s="9" t="s">
        <v>58</v>
      </c>
      <c r="H96" s="11">
        <v>54</v>
      </c>
      <c r="I96" s="25">
        <f>2955*54</f>
        <v>159570</v>
      </c>
      <c r="J96" s="25"/>
      <c r="K96" s="22">
        <f>2300*54</f>
        <v>124200</v>
      </c>
      <c r="L96" s="66">
        <v>0.03</v>
      </c>
      <c r="M96" s="67">
        <f t="shared" si="2"/>
        <v>3726</v>
      </c>
      <c r="N96" s="11"/>
      <c r="O96" s="11"/>
    </row>
    <row r="97" s="31" customFormat="1" customHeight="1" spans="1:15">
      <c r="A97" s="53">
        <v>91</v>
      </c>
      <c r="B97" s="11"/>
      <c r="C97" s="9" t="s">
        <v>63</v>
      </c>
      <c r="D97" s="13" t="s">
        <v>219</v>
      </c>
      <c r="E97" s="11"/>
      <c r="F97" s="12"/>
      <c r="G97" s="9" t="s">
        <v>58</v>
      </c>
      <c r="H97" s="11">
        <v>40</v>
      </c>
      <c r="I97" s="25">
        <f>2953*40</f>
        <v>118120</v>
      </c>
      <c r="J97" s="25"/>
      <c r="K97" s="22">
        <f>2300*40</f>
        <v>92000</v>
      </c>
      <c r="L97" s="66">
        <v>0.03</v>
      </c>
      <c r="M97" s="67">
        <f t="shared" si="2"/>
        <v>2760</v>
      </c>
      <c r="N97" s="11"/>
      <c r="O97" s="11"/>
    </row>
    <row r="98" s="31" customFormat="1" customHeight="1" spans="1:15">
      <c r="A98" s="53">
        <v>92</v>
      </c>
      <c r="B98" s="11"/>
      <c r="C98" s="9" t="s">
        <v>220</v>
      </c>
      <c r="D98" s="13" t="s">
        <v>221</v>
      </c>
      <c r="E98" s="11"/>
      <c r="F98" s="12"/>
      <c r="G98" s="9" t="s">
        <v>58</v>
      </c>
      <c r="H98" s="11">
        <v>1</v>
      </c>
      <c r="I98" s="25">
        <v>10970</v>
      </c>
      <c r="J98" s="25"/>
      <c r="K98" s="22">
        <v>8550</v>
      </c>
      <c r="L98" s="66">
        <v>0.03</v>
      </c>
      <c r="M98" s="67">
        <f t="shared" si="2"/>
        <v>256.5</v>
      </c>
      <c r="N98" s="11"/>
      <c r="O98" s="11"/>
    </row>
    <row r="99" s="31" customFormat="1" customHeight="1" spans="1:15">
      <c r="A99" s="53">
        <v>93</v>
      </c>
      <c r="B99" s="11"/>
      <c r="C99" s="9" t="s">
        <v>222</v>
      </c>
      <c r="D99" s="13" t="s">
        <v>223</v>
      </c>
      <c r="E99" s="11"/>
      <c r="F99" s="12"/>
      <c r="G99" s="9" t="s">
        <v>58</v>
      </c>
      <c r="H99" s="11">
        <v>1</v>
      </c>
      <c r="I99" s="25">
        <v>3250</v>
      </c>
      <c r="J99" s="25"/>
      <c r="K99" s="22">
        <v>2500</v>
      </c>
      <c r="L99" s="66">
        <v>0.03</v>
      </c>
      <c r="M99" s="67">
        <f t="shared" si="2"/>
        <v>75</v>
      </c>
      <c r="N99" s="11"/>
      <c r="O99" s="11"/>
    </row>
    <row r="100" s="31" customFormat="1" customHeight="1" spans="1:15">
      <c r="A100" s="53">
        <v>94</v>
      </c>
      <c r="B100" s="11"/>
      <c r="C100" s="9" t="s">
        <v>224</v>
      </c>
      <c r="D100" s="13" t="s">
        <v>77</v>
      </c>
      <c r="E100" s="11"/>
      <c r="F100" s="12"/>
      <c r="G100" s="9" t="s">
        <v>193</v>
      </c>
      <c r="H100" s="11">
        <v>1</v>
      </c>
      <c r="I100" s="25">
        <v>1140</v>
      </c>
      <c r="J100" s="25"/>
      <c r="K100" s="22">
        <v>860</v>
      </c>
      <c r="L100" s="66">
        <v>0.05</v>
      </c>
      <c r="M100" s="67">
        <f t="shared" si="2"/>
        <v>43</v>
      </c>
      <c r="N100" s="11"/>
      <c r="O100" s="11"/>
    </row>
    <row r="101" s="31" customFormat="1" customHeight="1" spans="1:15">
      <c r="A101" s="53">
        <v>95</v>
      </c>
      <c r="B101" s="11"/>
      <c r="C101" s="9" t="s">
        <v>135</v>
      </c>
      <c r="D101" s="13" t="s">
        <v>225</v>
      </c>
      <c r="E101" s="11"/>
      <c r="F101" s="12"/>
      <c r="G101" s="9" t="s">
        <v>226</v>
      </c>
      <c r="H101" s="11">
        <v>1</v>
      </c>
      <c r="I101" s="25">
        <v>5350</v>
      </c>
      <c r="J101" s="25"/>
      <c r="K101" s="22">
        <v>4850</v>
      </c>
      <c r="L101" s="66">
        <v>0.05</v>
      </c>
      <c r="M101" s="67">
        <f t="shared" si="2"/>
        <v>242.5</v>
      </c>
      <c r="N101" s="11"/>
      <c r="O101" s="11"/>
    </row>
    <row r="102" s="31" customFormat="1" customHeight="1" spans="1:15">
      <c r="A102" s="53">
        <v>96</v>
      </c>
      <c r="B102" s="11"/>
      <c r="C102" s="9" t="s">
        <v>135</v>
      </c>
      <c r="D102" s="13" t="s">
        <v>77</v>
      </c>
      <c r="E102" s="11"/>
      <c r="F102" s="12"/>
      <c r="G102" s="9" t="s">
        <v>227</v>
      </c>
      <c r="H102" s="11">
        <v>1</v>
      </c>
      <c r="I102" s="25">
        <v>5350</v>
      </c>
      <c r="J102" s="25"/>
      <c r="K102" s="22">
        <v>4850</v>
      </c>
      <c r="L102" s="66">
        <v>0.08</v>
      </c>
      <c r="M102" s="67">
        <f t="shared" si="2"/>
        <v>388</v>
      </c>
      <c r="N102" s="11"/>
      <c r="O102" s="11"/>
    </row>
    <row r="103" s="31" customFormat="1" customHeight="1" spans="1:15">
      <c r="A103" s="53">
        <v>97</v>
      </c>
      <c r="B103" s="11"/>
      <c r="C103" s="9" t="s">
        <v>228</v>
      </c>
      <c r="D103" s="13" t="s">
        <v>229</v>
      </c>
      <c r="E103" s="11"/>
      <c r="F103" s="12"/>
      <c r="G103" s="9" t="s">
        <v>58</v>
      </c>
      <c r="H103" s="11">
        <v>1</v>
      </c>
      <c r="I103" s="25">
        <v>1980</v>
      </c>
      <c r="J103" s="25"/>
      <c r="K103" s="22">
        <f>1400</f>
        <v>1400</v>
      </c>
      <c r="L103" s="66">
        <v>0.03</v>
      </c>
      <c r="M103" s="67">
        <f t="shared" si="2"/>
        <v>42</v>
      </c>
      <c r="N103" s="11"/>
      <c r="O103" s="11"/>
    </row>
    <row r="104" s="31" customFormat="1" customHeight="1" spans="1:15">
      <c r="A104" s="53">
        <v>98</v>
      </c>
      <c r="B104" s="11"/>
      <c r="C104" s="9" t="s">
        <v>230</v>
      </c>
      <c r="D104" s="13" t="s">
        <v>231</v>
      </c>
      <c r="E104" s="11"/>
      <c r="F104" s="12"/>
      <c r="G104" s="9" t="s">
        <v>232</v>
      </c>
      <c r="H104" s="11">
        <v>1</v>
      </c>
      <c r="I104" s="25">
        <v>13600</v>
      </c>
      <c r="J104" s="25"/>
      <c r="K104" s="22">
        <f>I104*0.7</f>
        <v>9520</v>
      </c>
      <c r="L104" s="66"/>
      <c r="M104" s="67">
        <f t="shared" ref="M104:M124" si="3">K104*L104</f>
        <v>0</v>
      </c>
      <c r="N104" s="11"/>
      <c r="O104" s="11"/>
    </row>
    <row r="105" s="31" customFormat="1" customHeight="1" spans="1:15">
      <c r="A105" s="53">
        <v>99</v>
      </c>
      <c r="B105" s="11"/>
      <c r="C105" s="9" t="s">
        <v>233</v>
      </c>
      <c r="D105" s="13" t="s">
        <v>234</v>
      </c>
      <c r="E105" s="11"/>
      <c r="F105" s="12"/>
      <c r="G105" s="9" t="s">
        <v>58</v>
      </c>
      <c r="H105" s="11">
        <v>4</v>
      </c>
      <c r="I105" s="25">
        <f>3800*4</f>
        <v>15200</v>
      </c>
      <c r="J105" s="25"/>
      <c r="K105" s="22">
        <f>3150*4</f>
        <v>12600</v>
      </c>
      <c r="L105" s="66">
        <v>0.01</v>
      </c>
      <c r="M105" s="67">
        <f t="shared" si="3"/>
        <v>126</v>
      </c>
      <c r="N105" s="11"/>
      <c r="O105" s="11"/>
    </row>
    <row r="106" s="31" customFormat="1" customHeight="1" spans="1:15">
      <c r="A106" s="53">
        <v>100</v>
      </c>
      <c r="B106" s="11"/>
      <c r="C106" s="9" t="s">
        <v>141</v>
      </c>
      <c r="D106" s="13" t="s">
        <v>235</v>
      </c>
      <c r="E106" s="11"/>
      <c r="F106" s="12"/>
      <c r="G106" s="9" t="s">
        <v>236</v>
      </c>
      <c r="H106" s="11">
        <v>1</v>
      </c>
      <c r="I106" s="25">
        <v>4180</v>
      </c>
      <c r="J106" s="25"/>
      <c r="K106" s="22">
        <v>3100</v>
      </c>
      <c r="L106" s="66">
        <v>0.03</v>
      </c>
      <c r="M106" s="67">
        <f t="shared" si="3"/>
        <v>93</v>
      </c>
      <c r="N106" s="11"/>
      <c r="O106" s="11"/>
    </row>
    <row r="107" s="31" customFormat="1" customHeight="1" spans="1:15">
      <c r="A107" s="53">
        <v>101</v>
      </c>
      <c r="B107" s="11"/>
      <c r="C107" s="9" t="s">
        <v>237</v>
      </c>
      <c r="D107" s="13" t="s">
        <v>238</v>
      </c>
      <c r="E107" s="11"/>
      <c r="F107" s="12"/>
      <c r="G107" s="9" t="s">
        <v>239</v>
      </c>
      <c r="H107" s="11">
        <v>56</v>
      </c>
      <c r="I107" s="25">
        <f>6500*56</f>
        <v>364000</v>
      </c>
      <c r="J107" s="25"/>
      <c r="K107" s="22">
        <f>4600*56</f>
        <v>257600</v>
      </c>
      <c r="L107" s="66">
        <v>0.03</v>
      </c>
      <c r="M107" s="67">
        <f t="shared" si="3"/>
        <v>7728</v>
      </c>
      <c r="N107" s="11"/>
      <c r="O107" s="11"/>
    </row>
    <row r="108" s="31" customFormat="1" customHeight="1" spans="1:15">
      <c r="A108" s="53">
        <v>102</v>
      </c>
      <c r="B108" s="11"/>
      <c r="C108" s="9" t="s">
        <v>73</v>
      </c>
      <c r="D108" s="13" t="s">
        <v>240</v>
      </c>
      <c r="E108" s="11"/>
      <c r="F108" s="12"/>
      <c r="G108" s="9" t="s">
        <v>151</v>
      </c>
      <c r="H108" s="11">
        <v>1</v>
      </c>
      <c r="I108" s="25">
        <v>7200</v>
      </c>
      <c r="J108" s="25"/>
      <c r="K108" s="22">
        <v>5200</v>
      </c>
      <c r="L108" s="66">
        <v>0.02</v>
      </c>
      <c r="M108" s="67">
        <f t="shared" si="3"/>
        <v>104</v>
      </c>
      <c r="N108" s="11"/>
      <c r="O108" s="11"/>
    </row>
    <row r="109" s="31" customFormat="1" customHeight="1" spans="1:15">
      <c r="A109" s="53">
        <v>103</v>
      </c>
      <c r="B109" s="11"/>
      <c r="C109" s="9" t="s">
        <v>73</v>
      </c>
      <c r="D109" s="13" t="s">
        <v>241</v>
      </c>
      <c r="E109" s="11"/>
      <c r="F109" s="12"/>
      <c r="G109" s="9" t="s">
        <v>242</v>
      </c>
      <c r="H109" s="11">
        <v>1</v>
      </c>
      <c r="I109" s="25">
        <v>6000</v>
      </c>
      <c r="J109" s="25"/>
      <c r="K109" s="22">
        <v>4100</v>
      </c>
      <c r="L109" s="66">
        <v>0.02</v>
      </c>
      <c r="M109" s="67">
        <f t="shared" si="3"/>
        <v>82</v>
      </c>
      <c r="N109" s="11"/>
      <c r="O109" s="11"/>
    </row>
    <row r="110" s="31" customFormat="1" customHeight="1" spans="1:15">
      <c r="A110" s="53">
        <v>104</v>
      </c>
      <c r="B110" s="11"/>
      <c r="C110" s="9" t="s">
        <v>243</v>
      </c>
      <c r="D110" s="13" t="s">
        <v>244</v>
      </c>
      <c r="E110" s="11"/>
      <c r="F110" s="12"/>
      <c r="G110" s="9" t="s">
        <v>245</v>
      </c>
      <c r="H110" s="11">
        <v>1</v>
      </c>
      <c r="I110" s="25">
        <v>1950</v>
      </c>
      <c r="J110" s="25"/>
      <c r="K110" s="22">
        <v>800</v>
      </c>
      <c r="L110" s="66">
        <v>0.01</v>
      </c>
      <c r="M110" s="67">
        <f t="shared" si="3"/>
        <v>8</v>
      </c>
      <c r="N110" s="11"/>
      <c r="O110" s="11"/>
    </row>
    <row r="111" s="31" customFormat="1" customHeight="1" spans="1:15">
      <c r="A111" s="53">
        <v>105</v>
      </c>
      <c r="B111" s="11"/>
      <c r="C111" s="9" t="s">
        <v>246</v>
      </c>
      <c r="D111" s="13" t="s">
        <v>247</v>
      </c>
      <c r="E111" s="11"/>
      <c r="F111" s="12"/>
      <c r="G111" s="9" t="s">
        <v>245</v>
      </c>
      <c r="H111" s="11">
        <v>1</v>
      </c>
      <c r="I111" s="25">
        <v>900</v>
      </c>
      <c r="J111" s="25"/>
      <c r="K111" s="22">
        <v>400</v>
      </c>
      <c r="L111" s="66">
        <v>0.02</v>
      </c>
      <c r="M111" s="67">
        <f t="shared" si="3"/>
        <v>8</v>
      </c>
      <c r="N111" s="11"/>
      <c r="O111" s="11"/>
    </row>
    <row r="112" s="31" customFormat="1" customHeight="1" spans="1:15">
      <c r="A112" s="53">
        <v>106</v>
      </c>
      <c r="B112" s="11"/>
      <c r="C112" s="9" t="s">
        <v>248</v>
      </c>
      <c r="D112" s="13" t="s">
        <v>249</v>
      </c>
      <c r="E112" s="11"/>
      <c r="F112" s="12"/>
      <c r="G112" s="9" t="s">
        <v>250</v>
      </c>
      <c r="H112" s="11">
        <v>1</v>
      </c>
      <c r="I112" s="25">
        <v>2960</v>
      </c>
      <c r="J112" s="25"/>
      <c r="K112" s="22">
        <v>900</v>
      </c>
      <c r="L112" s="66">
        <v>0.01</v>
      </c>
      <c r="M112" s="67">
        <f t="shared" si="3"/>
        <v>9</v>
      </c>
      <c r="N112" s="11"/>
      <c r="O112" s="11"/>
    </row>
    <row r="113" s="31" customFormat="1" customHeight="1" spans="1:15">
      <c r="A113" s="53">
        <v>107</v>
      </c>
      <c r="B113" s="11"/>
      <c r="C113" s="9" t="s">
        <v>248</v>
      </c>
      <c r="D113" s="13" t="s">
        <v>249</v>
      </c>
      <c r="E113" s="11"/>
      <c r="F113" s="12"/>
      <c r="G113" s="9" t="s">
        <v>250</v>
      </c>
      <c r="H113" s="11">
        <v>1</v>
      </c>
      <c r="I113" s="25">
        <v>1980</v>
      </c>
      <c r="J113" s="25"/>
      <c r="K113" s="22">
        <v>800</v>
      </c>
      <c r="L113" s="66">
        <v>0.01</v>
      </c>
      <c r="M113" s="67">
        <f t="shared" si="3"/>
        <v>8</v>
      </c>
      <c r="N113" s="11"/>
      <c r="O113" s="11"/>
    </row>
    <row r="114" s="31" customFormat="1" customHeight="1" spans="1:15">
      <c r="A114" s="53">
        <v>108</v>
      </c>
      <c r="B114" s="11"/>
      <c r="C114" s="9" t="s">
        <v>251</v>
      </c>
      <c r="D114" s="13" t="s">
        <v>252</v>
      </c>
      <c r="E114" s="11"/>
      <c r="F114" s="12"/>
      <c r="G114" s="9" t="s">
        <v>253</v>
      </c>
      <c r="H114" s="11">
        <v>2</v>
      </c>
      <c r="I114" s="25">
        <v>14000</v>
      </c>
      <c r="J114" s="25"/>
      <c r="K114" s="22">
        <v>9000</v>
      </c>
      <c r="L114" s="66">
        <v>0.01</v>
      </c>
      <c r="M114" s="67">
        <f t="shared" si="3"/>
        <v>90</v>
      </c>
      <c r="N114" s="11"/>
      <c r="O114" s="11"/>
    </row>
    <row r="115" s="31" customFormat="1" customHeight="1" spans="1:15">
      <c r="A115" s="53">
        <v>109</v>
      </c>
      <c r="B115" s="11"/>
      <c r="C115" s="9" t="s">
        <v>254</v>
      </c>
      <c r="D115" s="13" t="s">
        <v>255</v>
      </c>
      <c r="E115" s="11"/>
      <c r="F115" s="12"/>
      <c r="G115" s="9" t="s">
        <v>256</v>
      </c>
      <c r="H115" s="11">
        <v>2</v>
      </c>
      <c r="I115" s="25">
        <v>12000</v>
      </c>
      <c r="J115" s="25"/>
      <c r="K115" s="22">
        <v>9600</v>
      </c>
      <c r="L115" s="66">
        <v>0.02</v>
      </c>
      <c r="M115" s="67">
        <f t="shared" si="3"/>
        <v>192</v>
      </c>
      <c r="N115" s="11"/>
      <c r="O115" s="11"/>
    </row>
    <row r="116" s="31" customFormat="1" customHeight="1" spans="1:15">
      <c r="A116" s="53">
        <v>110</v>
      </c>
      <c r="B116" s="11"/>
      <c r="C116" s="9" t="s">
        <v>54</v>
      </c>
      <c r="D116" s="13" t="s">
        <v>257</v>
      </c>
      <c r="E116" s="11"/>
      <c r="F116" s="12"/>
      <c r="G116" s="9" t="s">
        <v>58</v>
      </c>
      <c r="H116" s="11">
        <v>2</v>
      </c>
      <c r="I116" s="25">
        <f>9808*2</f>
        <v>19616</v>
      </c>
      <c r="J116" s="25"/>
      <c r="K116" s="22">
        <f>5200*2</f>
        <v>10400</v>
      </c>
      <c r="L116" s="66">
        <v>0.03</v>
      </c>
      <c r="M116" s="67">
        <f t="shared" si="3"/>
        <v>312</v>
      </c>
      <c r="N116" s="11"/>
      <c r="O116" s="11"/>
    </row>
    <row r="117" s="31" customFormat="1" customHeight="1" spans="1:15">
      <c r="A117" s="53">
        <v>111</v>
      </c>
      <c r="B117" s="11"/>
      <c r="C117" s="9" t="s">
        <v>258</v>
      </c>
      <c r="D117" s="13" t="s">
        <v>259</v>
      </c>
      <c r="E117" s="11"/>
      <c r="F117" s="12"/>
      <c r="G117" s="9" t="s">
        <v>260</v>
      </c>
      <c r="H117" s="11">
        <v>1</v>
      </c>
      <c r="I117" s="25">
        <v>650</v>
      </c>
      <c r="J117" s="25"/>
      <c r="K117" s="22">
        <v>560</v>
      </c>
      <c r="L117" s="66">
        <v>0.05</v>
      </c>
      <c r="M117" s="67">
        <f t="shared" si="3"/>
        <v>28</v>
      </c>
      <c r="N117" s="11"/>
      <c r="O117" s="11"/>
    </row>
    <row r="118" s="31" customFormat="1" customHeight="1" spans="1:15">
      <c r="A118" s="53">
        <v>112</v>
      </c>
      <c r="B118" s="11"/>
      <c r="C118" s="9" t="s">
        <v>261</v>
      </c>
      <c r="D118" s="13" t="s">
        <v>262</v>
      </c>
      <c r="E118" s="11"/>
      <c r="F118" s="12"/>
      <c r="G118" s="9" t="s">
        <v>263</v>
      </c>
      <c r="H118" s="12">
        <v>2</v>
      </c>
      <c r="I118" s="25">
        <f>5921.48*2</f>
        <v>11842.96</v>
      </c>
      <c r="J118" s="25"/>
      <c r="K118" s="22">
        <v>8900</v>
      </c>
      <c r="L118" s="12"/>
      <c r="M118" s="67">
        <f t="shared" si="3"/>
        <v>0</v>
      </c>
      <c r="N118" s="11"/>
      <c r="O118" s="11" t="s">
        <v>140</v>
      </c>
    </row>
    <row r="119" s="31" customFormat="1" customHeight="1" spans="1:15">
      <c r="A119" s="53">
        <v>113</v>
      </c>
      <c r="B119" s="11"/>
      <c r="C119" s="9" t="s">
        <v>264</v>
      </c>
      <c r="D119" s="13" t="s">
        <v>265</v>
      </c>
      <c r="E119" s="11"/>
      <c r="F119" s="12"/>
      <c r="G119" s="9" t="s">
        <v>58</v>
      </c>
      <c r="H119" s="11">
        <v>4</v>
      </c>
      <c r="I119" s="25">
        <f>8600*4</f>
        <v>34400</v>
      </c>
      <c r="J119" s="25"/>
      <c r="K119" s="22">
        <f>I119*0.75</f>
        <v>25800</v>
      </c>
      <c r="L119" s="66"/>
      <c r="M119" s="67">
        <f t="shared" si="3"/>
        <v>0</v>
      </c>
      <c r="N119" s="11"/>
      <c r="O119" s="11" t="s">
        <v>140</v>
      </c>
    </row>
    <row r="120" s="31" customFormat="1" customHeight="1" spans="1:15">
      <c r="A120" s="53">
        <v>114</v>
      </c>
      <c r="B120" s="11"/>
      <c r="C120" s="9" t="s">
        <v>91</v>
      </c>
      <c r="D120" s="13" t="s">
        <v>266</v>
      </c>
      <c r="E120" s="11"/>
      <c r="F120" s="12"/>
      <c r="G120" s="9" t="s">
        <v>232</v>
      </c>
      <c r="H120" s="11">
        <v>1</v>
      </c>
      <c r="I120" s="25">
        <v>4900</v>
      </c>
      <c r="J120" s="25"/>
      <c r="K120" s="22">
        <v>3650</v>
      </c>
      <c r="L120" s="66">
        <v>0.01</v>
      </c>
      <c r="M120" s="67">
        <f t="shared" si="3"/>
        <v>36.5</v>
      </c>
      <c r="N120" s="11"/>
      <c r="O120" s="11"/>
    </row>
    <row r="121" s="31" customFormat="1" customHeight="1" spans="1:15">
      <c r="A121" s="53">
        <v>115</v>
      </c>
      <c r="B121" s="11"/>
      <c r="C121" s="9" t="s">
        <v>267</v>
      </c>
      <c r="D121" s="13" t="s">
        <v>268</v>
      </c>
      <c r="E121" s="11"/>
      <c r="F121" s="12"/>
      <c r="G121" s="9" t="s">
        <v>232</v>
      </c>
      <c r="H121" s="11">
        <v>20</v>
      </c>
      <c r="I121" s="25">
        <f>5700*20</f>
        <v>114000</v>
      </c>
      <c r="J121" s="25"/>
      <c r="K121" s="22">
        <f>5700*0.75*20</f>
        <v>85500</v>
      </c>
      <c r="L121" s="66">
        <v>0.03</v>
      </c>
      <c r="M121" s="67">
        <f t="shared" si="3"/>
        <v>2565</v>
      </c>
      <c r="N121" s="11"/>
      <c r="O121" s="11"/>
    </row>
    <row r="122" s="31" customFormat="1" customHeight="1" spans="1:15">
      <c r="A122" s="53">
        <v>116</v>
      </c>
      <c r="B122" s="11"/>
      <c r="C122" s="9" t="s">
        <v>269</v>
      </c>
      <c r="D122" s="13" t="s">
        <v>270</v>
      </c>
      <c r="E122" s="11"/>
      <c r="F122" s="12"/>
      <c r="G122" s="9" t="s">
        <v>131</v>
      </c>
      <c r="H122" s="11">
        <v>1</v>
      </c>
      <c r="I122" s="25">
        <v>2840</v>
      </c>
      <c r="J122" s="25"/>
      <c r="K122" s="22">
        <v>1850</v>
      </c>
      <c r="L122" s="66">
        <v>0.02</v>
      </c>
      <c r="M122" s="67">
        <f t="shared" si="3"/>
        <v>37</v>
      </c>
      <c r="N122" s="11"/>
      <c r="O122" s="11"/>
    </row>
    <row r="123" s="31" customFormat="1" customHeight="1" spans="1:15">
      <c r="A123" s="53">
        <v>117</v>
      </c>
      <c r="B123" s="11"/>
      <c r="C123" s="70" t="s">
        <v>271</v>
      </c>
      <c r="D123" s="71" t="s">
        <v>272</v>
      </c>
      <c r="E123" s="11"/>
      <c r="F123" s="12"/>
      <c r="G123" s="9" t="s">
        <v>154</v>
      </c>
      <c r="H123" s="11">
        <v>1</v>
      </c>
      <c r="I123" s="25">
        <v>2880</v>
      </c>
      <c r="J123" s="25"/>
      <c r="K123" s="22">
        <v>1200</v>
      </c>
      <c r="L123" s="66">
        <v>0.01</v>
      </c>
      <c r="M123" s="67">
        <f t="shared" si="3"/>
        <v>12</v>
      </c>
      <c r="N123" s="11"/>
      <c r="O123" s="11"/>
    </row>
    <row r="124" s="31" customFormat="1" customHeight="1" spans="1:15">
      <c r="A124" s="14" t="s">
        <v>17</v>
      </c>
      <c r="B124" s="15"/>
      <c r="C124" s="15"/>
      <c r="D124" s="15"/>
      <c r="E124" s="15"/>
      <c r="F124" s="15"/>
      <c r="G124" s="16"/>
      <c r="H124" s="11"/>
      <c r="I124" s="48">
        <f>SUM(I7:I123)</f>
        <v>3856230.96</v>
      </c>
      <c r="J124" s="25"/>
      <c r="K124" s="22"/>
      <c r="L124" s="12"/>
      <c r="M124" s="67">
        <f>SUM(M7:M123)</f>
        <v>57581.8</v>
      </c>
      <c r="N124" s="11"/>
      <c r="O124" s="11"/>
    </row>
    <row r="125" customHeight="1" spans="1:15">
      <c r="A125" s="3" t="s">
        <v>273</v>
      </c>
      <c r="H125" s="3" t="s">
        <v>274</v>
      </c>
      <c r="L125" s="1"/>
      <c r="M125" s="50" t="s">
        <v>275</v>
      </c>
      <c r="N125" s="28"/>
      <c r="O125" s="28"/>
    </row>
  </sheetData>
  <autoFilter ref="A6:O125">
    <extLst/>
  </autoFilter>
  <mergeCells count="10">
    <mergeCell ref="A2:O2"/>
    <mergeCell ref="A3:O3"/>
    <mergeCell ref="I5:J5"/>
    <mergeCell ref="K5:M5"/>
    <mergeCell ref="A124:G124"/>
    <mergeCell ref="M125:O125"/>
    <mergeCell ref="C5:C6"/>
    <mergeCell ref="D5:D6"/>
    <mergeCell ref="H5:H6"/>
    <mergeCell ref="O5:O6"/>
  </mergeCells>
  <printOptions horizontalCentered="1"/>
  <pageMargins left="0.35" right="0" top="0.59" bottom="0.59" header="0.51" footer="0.51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3"/>
  <sheetViews>
    <sheetView zoomScale="85" zoomScaleNormal="85" zoomScaleSheetLayoutView="60" topLeftCell="A35" workbookViewId="0">
      <selection activeCell="H54" sqref="H54"/>
    </sheetView>
  </sheetViews>
  <sheetFormatPr defaultColWidth="9" defaultRowHeight="20.4" customHeight="1"/>
  <cols>
    <col min="1" max="1" width="2.6" style="3" customWidth="1"/>
    <col min="2" max="2" width="5.9" style="3" customWidth="1"/>
    <col min="3" max="3" width="21.275" style="3" customWidth="1"/>
    <col min="4" max="4" width="13.425" style="3" customWidth="1"/>
    <col min="5" max="5" width="4.9" style="3" customWidth="1"/>
    <col min="6" max="6" width="3.7" style="3" customWidth="1"/>
    <col min="7" max="7" width="11.4666666666667" style="3" customWidth="1"/>
    <col min="8" max="8" width="5.5" style="3" customWidth="1"/>
    <col min="9" max="9" width="12.15" style="31" customWidth="1"/>
    <col min="10" max="10" width="9.6" style="3" customWidth="1"/>
    <col min="11" max="11" width="10.675" style="32" customWidth="1"/>
    <col min="12" max="12" width="7.45" style="3" customWidth="1"/>
    <col min="13" max="13" width="11.6" style="32" customWidth="1"/>
    <col min="14" max="14" width="3.6" style="3" customWidth="1"/>
    <col min="15" max="15" width="14.6" style="3" customWidth="1"/>
    <col min="16" max="254" width="9" style="3" customWidth="1"/>
  </cols>
  <sheetData>
    <row r="1" customHeight="1" spans="1:1">
      <c r="A1" s="3" t="s">
        <v>22</v>
      </c>
    </row>
    <row r="2" customHeight="1" spans="1:15">
      <c r="A2" s="4" t="s">
        <v>23</v>
      </c>
      <c r="B2" s="4"/>
      <c r="C2" s="4"/>
      <c r="D2" s="4"/>
      <c r="E2" s="4"/>
      <c r="F2" s="4"/>
      <c r="G2" s="4"/>
      <c r="H2" s="4"/>
      <c r="I2" s="39"/>
      <c r="J2" s="4"/>
      <c r="K2" s="40"/>
      <c r="L2" s="4"/>
      <c r="M2" s="40"/>
      <c r="N2" s="4"/>
      <c r="O2" s="4"/>
    </row>
    <row r="3" customHeight="1" spans="1:15">
      <c r="A3" s="1" t="s">
        <v>24</v>
      </c>
      <c r="B3" s="1"/>
      <c r="C3" s="1"/>
      <c r="D3" s="1"/>
      <c r="E3" s="1"/>
      <c r="F3" s="1"/>
      <c r="G3" s="1"/>
      <c r="H3" s="1"/>
      <c r="I3" s="41"/>
      <c r="J3" s="1"/>
      <c r="K3" s="42"/>
      <c r="L3" s="1"/>
      <c r="M3" s="42"/>
      <c r="N3" s="1"/>
      <c r="O3" s="1"/>
    </row>
    <row r="4" customHeight="1" spans="1:14">
      <c r="A4" s="3" t="s">
        <v>25</v>
      </c>
      <c r="N4" s="3" t="s">
        <v>26</v>
      </c>
    </row>
    <row r="5" s="1" customFormat="1" customHeight="1" spans="1:15">
      <c r="A5" s="5" t="s">
        <v>27</v>
      </c>
      <c r="B5" s="5" t="s">
        <v>28</v>
      </c>
      <c r="C5" s="5" t="s">
        <v>29</v>
      </c>
      <c r="D5" s="5" t="s">
        <v>30</v>
      </c>
      <c r="E5" s="5" t="s">
        <v>31</v>
      </c>
      <c r="F5" s="5" t="s">
        <v>32</v>
      </c>
      <c r="G5" s="5" t="s">
        <v>33</v>
      </c>
      <c r="H5" s="5" t="s">
        <v>34</v>
      </c>
      <c r="I5" s="14" t="s">
        <v>6</v>
      </c>
      <c r="J5" s="18"/>
      <c r="K5" s="43" t="s">
        <v>7</v>
      </c>
      <c r="L5" s="19"/>
      <c r="M5" s="44"/>
      <c r="N5" s="5" t="s">
        <v>35</v>
      </c>
      <c r="O5" s="5" t="s">
        <v>36</v>
      </c>
    </row>
    <row r="6" s="1" customFormat="1" customHeight="1" spans="1:15">
      <c r="A6" s="6" t="s">
        <v>37</v>
      </c>
      <c r="B6" s="6" t="s">
        <v>38</v>
      </c>
      <c r="C6" s="6"/>
      <c r="D6" s="6"/>
      <c r="E6" s="6" t="s">
        <v>39</v>
      </c>
      <c r="F6" s="6" t="s">
        <v>40</v>
      </c>
      <c r="G6" s="6" t="s">
        <v>41</v>
      </c>
      <c r="H6" s="6"/>
      <c r="I6" s="12" t="s">
        <v>42</v>
      </c>
      <c r="J6" s="20" t="s">
        <v>43</v>
      </c>
      <c r="K6" s="45" t="s">
        <v>42</v>
      </c>
      <c r="L6" s="20" t="s">
        <v>44</v>
      </c>
      <c r="M6" s="45" t="s">
        <v>43</v>
      </c>
      <c r="N6" s="6" t="s">
        <v>45</v>
      </c>
      <c r="O6" s="6"/>
    </row>
    <row r="7" s="29" customFormat="1" customHeight="1" spans="1:15">
      <c r="A7" s="8">
        <v>1</v>
      </c>
      <c r="B7" s="8"/>
      <c r="C7" s="9" t="s">
        <v>276</v>
      </c>
      <c r="D7" s="13" t="s">
        <v>277</v>
      </c>
      <c r="E7" s="8"/>
      <c r="F7" s="7"/>
      <c r="G7" s="9" t="s">
        <v>278</v>
      </c>
      <c r="H7" s="8">
        <v>1</v>
      </c>
      <c r="I7" s="21">
        <v>60000</v>
      </c>
      <c r="J7" s="21"/>
      <c r="K7" s="22">
        <v>51000</v>
      </c>
      <c r="L7" s="23">
        <v>0.1</v>
      </c>
      <c r="M7" s="22">
        <f t="shared" ref="M7:M51" si="0">K7*L7</f>
        <v>5100</v>
      </c>
      <c r="N7" s="8"/>
      <c r="O7" s="8"/>
    </row>
    <row r="8" s="29" customFormat="1" customHeight="1" spans="1:15">
      <c r="A8" s="8">
        <v>2</v>
      </c>
      <c r="B8" s="8"/>
      <c r="C8" s="9" t="s">
        <v>279</v>
      </c>
      <c r="D8" s="13" t="s">
        <v>280</v>
      </c>
      <c r="E8" s="8"/>
      <c r="F8" s="7"/>
      <c r="G8" s="9" t="s">
        <v>281</v>
      </c>
      <c r="H8" s="8">
        <v>24</v>
      </c>
      <c r="I8" s="21">
        <f>14390*24</f>
        <v>345360</v>
      </c>
      <c r="J8" s="21"/>
      <c r="K8" s="22">
        <v>276200</v>
      </c>
      <c r="L8" s="23">
        <v>0.02</v>
      </c>
      <c r="M8" s="22">
        <f t="shared" si="0"/>
        <v>5524</v>
      </c>
      <c r="N8" s="8"/>
      <c r="O8" s="8"/>
    </row>
    <row r="9" s="29" customFormat="1" customHeight="1" spans="1:15">
      <c r="A9" s="8">
        <v>3</v>
      </c>
      <c r="B9" s="8"/>
      <c r="C9" s="9" t="s">
        <v>282</v>
      </c>
      <c r="D9" s="13" t="s">
        <v>283</v>
      </c>
      <c r="E9" s="8"/>
      <c r="F9" s="7"/>
      <c r="G9" s="9" t="s">
        <v>281</v>
      </c>
      <c r="H9" s="8">
        <v>6</v>
      </c>
      <c r="I9" s="21">
        <f>720*6</f>
        <v>4320</v>
      </c>
      <c r="J9" s="21"/>
      <c r="K9" s="22">
        <f>550*6</f>
        <v>3300</v>
      </c>
      <c r="L9" s="23">
        <v>0.03</v>
      </c>
      <c r="M9" s="22">
        <f t="shared" si="0"/>
        <v>99</v>
      </c>
      <c r="N9" s="8"/>
      <c r="O9" s="8"/>
    </row>
    <row r="10" s="29" customFormat="1" customHeight="1" spans="1:15">
      <c r="A10" s="8">
        <v>4</v>
      </c>
      <c r="B10" s="8"/>
      <c r="C10" s="9" t="s">
        <v>284</v>
      </c>
      <c r="D10" s="13" t="s">
        <v>285</v>
      </c>
      <c r="E10" s="8"/>
      <c r="F10" s="7"/>
      <c r="G10" s="9" t="s">
        <v>183</v>
      </c>
      <c r="H10" s="8">
        <v>2</v>
      </c>
      <c r="I10" s="21">
        <v>20000</v>
      </c>
      <c r="J10" s="21"/>
      <c r="K10" s="22">
        <v>15000</v>
      </c>
      <c r="L10" s="23">
        <v>0.03</v>
      </c>
      <c r="M10" s="22">
        <f t="shared" si="0"/>
        <v>450</v>
      </c>
      <c r="N10" s="8"/>
      <c r="O10" s="8"/>
    </row>
    <row r="11" s="29" customFormat="1" customHeight="1" spans="1:15">
      <c r="A11" s="8">
        <v>5</v>
      </c>
      <c r="B11" s="8"/>
      <c r="C11" s="9" t="s">
        <v>286</v>
      </c>
      <c r="D11" s="13" t="s">
        <v>287</v>
      </c>
      <c r="E11" s="8"/>
      <c r="F11" s="7"/>
      <c r="G11" s="9" t="s">
        <v>183</v>
      </c>
      <c r="H11" s="8">
        <v>2</v>
      </c>
      <c r="I11" s="21">
        <f>5200*2</f>
        <v>10400</v>
      </c>
      <c r="J11" s="21"/>
      <c r="K11" s="22">
        <v>8000</v>
      </c>
      <c r="L11" s="23">
        <v>0.03</v>
      </c>
      <c r="M11" s="22">
        <f t="shared" si="0"/>
        <v>240</v>
      </c>
      <c r="N11" s="8"/>
      <c r="O11" s="8"/>
    </row>
    <row r="12" s="29" customFormat="1" customHeight="1" spans="1:15">
      <c r="A12" s="8">
        <v>6</v>
      </c>
      <c r="B12" s="8"/>
      <c r="C12" s="9" t="s">
        <v>288</v>
      </c>
      <c r="D12" s="13" t="s">
        <v>289</v>
      </c>
      <c r="E12" s="8"/>
      <c r="F12" s="7"/>
      <c r="G12" s="9" t="s">
        <v>183</v>
      </c>
      <c r="H12" s="8">
        <v>3</v>
      </c>
      <c r="I12" s="21">
        <f>7800*3</f>
        <v>23400</v>
      </c>
      <c r="J12" s="21"/>
      <c r="K12" s="22">
        <v>18000</v>
      </c>
      <c r="L12" s="23">
        <v>0.03</v>
      </c>
      <c r="M12" s="22">
        <f t="shared" si="0"/>
        <v>540</v>
      </c>
      <c r="N12" s="8"/>
      <c r="O12" s="8"/>
    </row>
    <row r="13" s="29" customFormat="1" customHeight="1" spans="1:15">
      <c r="A13" s="8">
        <v>7</v>
      </c>
      <c r="B13" s="8"/>
      <c r="C13" s="9" t="s">
        <v>290</v>
      </c>
      <c r="D13" s="13" t="s">
        <v>291</v>
      </c>
      <c r="E13" s="8"/>
      <c r="F13" s="7"/>
      <c r="G13" s="9" t="s">
        <v>183</v>
      </c>
      <c r="H13" s="8">
        <v>3</v>
      </c>
      <c r="I13" s="21">
        <f>2450*3</f>
        <v>7350</v>
      </c>
      <c r="J13" s="21"/>
      <c r="K13" s="22">
        <v>5800</v>
      </c>
      <c r="L13" s="23">
        <v>0.03</v>
      </c>
      <c r="M13" s="22">
        <f t="shared" si="0"/>
        <v>174</v>
      </c>
      <c r="N13" s="8"/>
      <c r="O13" s="8"/>
    </row>
    <row r="14" s="29" customFormat="1" customHeight="1" spans="1:15">
      <c r="A14" s="8">
        <v>8</v>
      </c>
      <c r="B14" s="8"/>
      <c r="C14" s="9" t="s">
        <v>292</v>
      </c>
      <c r="D14" s="13" t="s">
        <v>293</v>
      </c>
      <c r="E14" s="8"/>
      <c r="F14" s="7"/>
      <c r="G14" s="9" t="s">
        <v>183</v>
      </c>
      <c r="H14" s="8">
        <v>1</v>
      </c>
      <c r="I14" s="21">
        <v>1950</v>
      </c>
      <c r="J14" s="21"/>
      <c r="K14" s="22">
        <v>1560</v>
      </c>
      <c r="L14" s="23">
        <v>0.03</v>
      </c>
      <c r="M14" s="22">
        <f t="shared" si="0"/>
        <v>46.8</v>
      </c>
      <c r="N14" s="8"/>
      <c r="O14" s="8"/>
    </row>
    <row r="15" s="29" customFormat="1" customHeight="1" spans="1:15">
      <c r="A15" s="8">
        <v>9</v>
      </c>
      <c r="B15" s="8"/>
      <c r="C15" s="9" t="s">
        <v>294</v>
      </c>
      <c r="D15" s="13" t="s">
        <v>295</v>
      </c>
      <c r="E15" s="8"/>
      <c r="F15" s="7"/>
      <c r="G15" s="9" t="s">
        <v>183</v>
      </c>
      <c r="H15" s="8">
        <v>2</v>
      </c>
      <c r="I15" s="21">
        <v>30000</v>
      </c>
      <c r="J15" s="21"/>
      <c r="K15" s="22">
        <v>24000</v>
      </c>
      <c r="L15" s="23">
        <v>0.03</v>
      </c>
      <c r="M15" s="22">
        <f t="shared" si="0"/>
        <v>720</v>
      </c>
      <c r="N15" s="8"/>
      <c r="O15" s="8"/>
    </row>
    <row r="16" s="29" customFormat="1" customHeight="1" spans="1:15">
      <c r="A16" s="8">
        <v>10</v>
      </c>
      <c r="B16" s="8"/>
      <c r="C16" s="9" t="s">
        <v>296</v>
      </c>
      <c r="D16" s="13" t="s">
        <v>297</v>
      </c>
      <c r="E16" s="8"/>
      <c r="F16" s="7"/>
      <c r="G16" s="9" t="s">
        <v>183</v>
      </c>
      <c r="H16" s="8">
        <v>10</v>
      </c>
      <c r="I16" s="21">
        <v>6600</v>
      </c>
      <c r="J16" s="21"/>
      <c r="K16" s="22">
        <v>5200</v>
      </c>
      <c r="L16" s="23">
        <v>0.03</v>
      </c>
      <c r="M16" s="22">
        <f t="shared" si="0"/>
        <v>156</v>
      </c>
      <c r="N16" s="8"/>
      <c r="O16" s="8"/>
    </row>
    <row r="17" s="29" customFormat="1" customHeight="1" spans="1:15">
      <c r="A17" s="8">
        <v>11</v>
      </c>
      <c r="B17" s="8"/>
      <c r="C17" s="9" t="s">
        <v>298</v>
      </c>
      <c r="D17" s="13" t="s">
        <v>299</v>
      </c>
      <c r="E17" s="8"/>
      <c r="F17" s="7"/>
      <c r="G17" s="9" t="s">
        <v>183</v>
      </c>
      <c r="H17" s="8">
        <v>2</v>
      </c>
      <c r="I17" s="21">
        <v>9000</v>
      </c>
      <c r="J17" s="21"/>
      <c r="K17" s="22">
        <v>7200</v>
      </c>
      <c r="L17" s="23">
        <v>0.03</v>
      </c>
      <c r="M17" s="22">
        <f t="shared" si="0"/>
        <v>216</v>
      </c>
      <c r="N17" s="8"/>
      <c r="O17" s="8"/>
    </row>
    <row r="18" s="30" customFormat="1" customHeight="1" spans="1:15">
      <c r="A18" s="33">
        <v>12</v>
      </c>
      <c r="B18" s="33"/>
      <c r="C18" s="34" t="s">
        <v>300</v>
      </c>
      <c r="D18" s="35" t="s">
        <v>301</v>
      </c>
      <c r="E18" s="33"/>
      <c r="F18" s="36"/>
      <c r="G18" s="34" t="s">
        <v>183</v>
      </c>
      <c r="H18" s="33">
        <v>2</v>
      </c>
      <c r="I18" s="46">
        <v>4800</v>
      </c>
      <c r="J18" s="46"/>
      <c r="K18" s="47">
        <v>3840</v>
      </c>
      <c r="L18" s="23">
        <v>0.03</v>
      </c>
      <c r="M18" s="22">
        <f t="shared" si="0"/>
        <v>115.2</v>
      </c>
      <c r="N18" s="33"/>
      <c r="O18" s="33"/>
    </row>
    <row r="19" s="30" customFormat="1" customHeight="1" spans="1:15">
      <c r="A19" s="33">
        <v>13</v>
      </c>
      <c r="B19" s="33"/>
      <c r="C19" s="34" t="s">
        <v>302</v>
      </c>
      <c r="D19" s="35" t="s">
        <v>303</v>
      </c>
      <c r="E19" s="33"/>
      <c r="F19" s="36"/>
      <c r="G19" s="34" t="s">
        <v>183</v>
      </c>
      <c r="H19" s="33">
        <v>4</v>
      </c>
      <c r="I19" s="46">
        <v>8800</v>
      </c>
      <c r="J19" s="46"/>
      <c r="K19" s="47">
        <v>7000</v>
      </c>
      <c r="L19" s="23">
        <v>0.03</v>
      </c>
      <c r="M19" s="22">
        <f t="shared" si="0"/>
        <v>210</v>
      </c>
      <c r="N19" s="33"/>
      <c r="O19" s="33"/>
    </row>
    <row r="20" s="30" customFormat="1" customHeight="1" spans="1:15">
      <c r="A20" s="33">
        <v>14</v>
      </c>
      <c r="B20" s="33"/>
      <c r="C20" s="34" t="s">
        <v>304</v>
      </c>
      <c r="D20" s="35" t="s">
        <v>305</v>
      </c>
      <c r="E20" s="33"/>
      <c r="F20" s="36"/>
      <c r="G20" s="34" t="s">
        <v>183</v>
      </c>
      <c r="H20" s="33">
        <v>1</v>
      </c>
      <c r="I20" s="46">
        <v>3200</v>
      </c>
      <c r="J20" s="46"/>
      <c r="K20" s="47">
        <v>2580</v>
      </c>
      <c r="L20" s="23">
        <v>0.03</v>
      </c>
      <c r="M20" s="22">
        <f t="shared" si="0"/>
        <v>77.4</v>
      </c>
      <c r="N20" s="33"/>
      <c r="O20" s="33"/>
    </row>
    <row r="21" s="30" customFormat="1" customHeight="1" spans="1:15">
      <c r="A21" s="33">
        <v>15</v>
      </c>
      <c r="B21" s="33"/>
      <c r="C21" s="34" t="s">
        <v>306</v>
      </c>
      <c r="D21" s="35" t="s">
        <v>307</v>
      </c>
      <c r="E21" s="33"/>
      <c r="F21" s="36"/>
      <c r="G21" s="34" t="s">
        <v>183</v>
      </c>
      <c r="H21" s="33">
        <v>4</v>
      </c>
      <c r="I21" s="46">
        <v>8400</v>
      </c>
      <c r="J21" s="46"/>
      <c r="K21" s="47">
        <v>6700</v>
      </c>
      <c r="L21" s="23">
        <v>0.03</v>
      </c>
      <c r="M21" s="22">
        <f t="shared" si="0"/>
        <v>201</v>
      </c>
      <c r="N21" s="33"/>
      <c r="O21" s="33"/>
    </row>
    <row r="22" s="30" customFormat="1" customHeight="1" spans="1:15">
      <c r="A22" s="33">
        <v>16</v>
      </c>
      <c r="B22" s="33"/>
      <c r="C22" s="34" t="s">
        <v>308</v>
      </c>
      <c r="D22" s="35" t="s">
        <v>309</v>
      </c>
      <c r="E22" s="33"/>
      <c r="F22" s="36"/>
      <c r="G22" s="34" t="s">
        <v>183</v>
      </c>
      <c r="H22" s="33">
        <v>1</v>
      </c>
      <c r="I22" s="46">
        <v>4800</v>
      </c>
      <c r="J22" s="46"/>
      <c r="K22" s="47">
        <v>3800</v>
      </c>
      <c r="L22" s="23">
        <v>0.03</v>
      </c>
      <c r="M22" s="22">
        <f t="shared" si="0"/>
        <v>114</v>
      </c>
      <c r="N22" s="33"/>
      <c r="O22" s="33"/>
    </row>
    <row r="23" s="30" customFormat="1" customHeight="1" spans="1:15">
      <c r="A23" s="33">
        <v>17</v>
      </c>
      <c r="B23" s="33"/>
      <c r="C23" s="34" t="s">
        <v>310</v>
      </c>
      <c r="D23" s="35" t="s">
        <v>311</v>
      </c>
      <c r="E23" s="33"/>
      <c r="F23" s="36"/>
      <c r="G23" s="34" t="s">
        <v>183</v>
      </c>
      <c r="H23" s="33">
        <v>1</v>
      </c>
      <c r="I23" s="46">
        <v>65000</v>
      </c>
      <c r="J23" s="46"/>
      <c r="K23" s="47">
        <v>53000</v>
      </c>
      <c r="L23" s="23">
        <v>0.03</v>
      </c>
      <c r="M23" s="22">
        <f t="shared" si="0"/>
        <v>1590</v>
      </c>
      <c r="N23" s="33"/>
      <c r="O23" s="33"/>
    </row>
    <row r="24" s="30" customFormat="1" customHeight="1" spans="1:15">
      <c r="A24" s="33">
        <v>18</v>
      </c>
      <c r="B24" s="33"/>
      <c r="C24" s="34" t="s">
        <v>312</v>
      </c>
      <c r="D24" s="35" t="s">
        <v>313</v>
      </c>
      <c r="E24" s="33"/>
      <c r="F24" s="36"/>
      <c r="G24" s="34" t="s">
        <v>183</v>
      </c>
      <c r="H24" s="33">
        <v>1</v>
      </c>
      <c r="I24" s="46">
        <v>26000</v>
      </c>
      <c r="J24" s="46"/>
      <c r="K24" s="47">
        <v>21000</v>
      </c>
      <c r="L24" s="23">
        <v>0.03</v>
      </c>
      <c r="M24" s="22">
        <f t="shared" si="0"/>
        <v>630</v>
      </c>
      <c r="N24" s="33"/>
      <c r="O24" s="33"/>
    </row>
    <row r="25" s="29" customFormat="1" customHeight="1" spans="1:15">
      <c r="A25" s="8">
        <v>19</v>
      </c>
      <c r="B25" s="8"/>
      <c r="C25" s="9" t="s">
        <v>314</v>
      </c>
      <c r="D25" s="13" t="s">
        <v>315</v>
      </c>
      <c r="E25" s="8"/>
      <c r="F25" s="7"/>
      <c r="G25" s="9" t="s">
        <v>183</v>
      </c>
      <c r="H25" s="8">
        <v>4</v>
      </c>
      <c r="I25" s="21">
        <f>2300*4</f>
        <v>9200</v>
      </c>
      <c r="J25" s="21"/>
      <c r="K25" s="22">
        <v>7360</v>
      </c>
      <c r="L25" s="23">
        <v>0.03</v>
      </c>
      <c r="M25" s="22">
        <f t="shared" si="0"/>
        <v>220.8</v>
      </c>
      <c r="N25" s="8"/>
      <c r="O25" s="8"/>
    </row>
    <row r="26" s="29" customFormat="1" customHeight="1" spans="1:15">
      <c r="A26" s="8">
        <v>20</v>
      </c>
      <c r="B26" s="8"/>
      <c r="C26" s="9" t="s">
        <v>316</v>
      </c>
      <c r="D26" s="13" t="s">
        <v>317</v>
      </c>
      <c r="E26" s="8"/>
      <c r="F26" s="7"/>
      <c r="G26" s="9" t="s">
        <v>183</v>
      </c>
      <c r="H26" s="8">
        <v>3</v>
      </c>
      <c r="I26" s="21">
        <f>4200*3</f>
        <v>12600</v>
      </c>
      <c r="J26" s="21"/>
      <c r="K26" s="22">
        <v>10080</v>
      </c>
      <c r="L26" s="23">
        <v>0.03</v>
      </c>
      <c r="M26" s="22">
        <f t="shared" si="0"/>
        <v>302.4</v>
      </c>
      <c r="N26" s="8"/>
      <c r="O26" s="8"/>
    </row>
    <row r="27" s="29" customFormat="1" customHeight="1" spans="1:15">
      <c r="A27" s="8">
        <v>21</v>
      </c>
      <c r="B27" s="8"/>
      <c r="C27" s="9" t="s">
        <v>318</v>
      </c>
      <c r="D27" s="13" t="s">
        <v>319</v>
      </c>
      <c r="E27" s="8"/>
      <c r="F27" s="7"/>
      <c r="G27" s="9" t="s">
        <v>183</v>
      </c>
      <c r="H27" s="8">
        <v>4</v>
      </c>
      <c r="I27" s="21">
        <f>1950*4</f>
        <v>7800</v>
      </c>
      <c r="J27" s="21"/>
      <c r="K27" s="22">
        <v>6200</v>
      </c>
      <c r="L27" s="23">
        <v>0.03</v>
      </c>
      <c r="M27" s="22">
        <f t="shared" si="0"/>
        <v>186</v>
      </c>
      <c r="N27" s="8"/>
      <c r="O27" s="8"/>
    </row>
    <row r="28" s="29" customFormat="1" customHeight="1" spans="1:15">
      <c r="A28" s="8">
        <v>22</v>
      </c>
      <c r="B28" s="8"/>
      <c r="C28" s="9" t="s">
        <v>320</v>
      </c>
      <c r="D28" s="13" t="s">
        <v>321</v>
      </c>
      <c r="E28" s="8"/>
      <c r="F28" s="7"/>
      <c r="G28" s="9" t="s">
        <v>183</v>
      </c>
      <c r="H28" s="8">
        <v>4</v>
      </c>
      <c r="I28" s="21">
        <f>1500*4</f>
        <v>6000</v>
      </c>
      <c r="J28" s="21"/>
      <c r="K28" s="22">
        <v>4800</v>
      </c>
      <c r="L28" s="23">
        <v>0.03</v>
      </c>
      <c r="M28" s="22">
        <f t="shared" si="0"/>
        <v>144</v>
      </c>
      <c r="N28" s="8"/>
      <c r="O28" s="8"/>
    </row>
    <row r="29" s="29" customFormat="1" customHeight="1" spans="1:15">
      <c r="A29" s="8">
        <v>23</v>
      </c>
      <c r="B29" s="8"/>
      <c r="C29" s="9" t="s">
        <v>322</v>
      </c>
      <c r="D29" s="13" t="s">
        <v>323</v>
      </c>
      <c r="E29" s="8"/>
      <c r="F29" s="7"/>
      <c r="G29" s="9" t="s">
        <v>183</v>
      </c>
      <c r="H29" s="8">
        <v>2</v>
      </c>
      <c r="I29" s="21">
        <v>1300</v>
      </c>
      <c r="J29" s="21"/>
      <c r="K29" s="22">
        <v>1000</v>
      </c>
      <c r="L29" s="23">
        <v>0.03</v>
      </c>
      <c r="M29" s="22">
        <f t="shared" si="0"/>
        <v>30</v>
      </c>
      <c r="N29" s="8"/>
      <c r="O29" s="8"/>
    </row>
    <row r="30" s="29" customFormat="1" customHeight="1" spans="1:15">
      <c r="A30" s="8">
        <v>24</v>
      </c>
      <c r="B30" s="8"/>
      <c r="C30" s="9" t="s">
        <v>324</v>
      </c>
      <c r="D30" s="13" t="s">
        <v>325</v>
      </c>
      <c r="E30" s="8"/>
      <c r="F30" s="7"/>
      <c r="G30" s="9" t="s">
        <v>183</v>
      </c>
      <c r="H30" s="8">
        <v>4</v>
      </c>
      <c r="I30" s="21">
        <f>1750*4</f>
        <v>7000</v>
      </c>
      <c r="J30" s="21"/>
      <c r="K30" s="22">
        <v>5600</v>
      </c>
      <c r="L30" s="23">
        <v>0.03</v>
      </c>
      <c r="M30" s="22">
        <f t="shared" si="0"/>
        <v>168</v>
      </c>
      <c r="N30" s="8"/>
      <c r="O30" s="8"/>
    </row>
    <row r="31" s="29" customFormat="1" customHeight="1" spans="1:15">
      <c r="A31" s="8">
        <v>25</v>
      </c>
      <c r="B31" s="8"/>
      <c r="C31" s="9" t="s">
        <v>326</v>
      </c>
      <c r="D31" s="13" t="s">
        <v>327</v>
      </c>
      <c r="E31" s="8"/>
      <c r="F31" s="7"/>
      <c r="G31" s="9" t="s">
        <v>183</v>
      </c>
      <c r="H31" s="8">
        <v>1</v>
      </c>
      <c r="I31" s="21">
        <v>3600</v>
      </c>
      <c r="J31" s="21"/>
      <c r="K31" s="22">
        <v>2880</v>
      </c>
      <c r="L31" s="23">
        <v>0.03</v>
      </c>
      <c r="M31" s="22">
        <f t="shared" si="0"/>
        <v>86.4</v>
      </c>
      <c r="N31" s="8"/>
      <c r="O31" s="8"/>
    </row>
    <row r="32" s="29" customFormat="1" customHeight="1" spans="1:15">
      <c r="A32" s="8">
        <v>26</v>
      </c>
      <c r="B32" s="8"/>
      <c r="C32" s="9" t="s">
        <v>328</v>
      </c>
      <c r="D32" s="13" t="s">
        <v>329</v>
      </c>
      <c r="E32" s="8"/>
      <c r="F32" s="7"/>
      <c r="G32" s="9" t="s">
        <v>183</v>
      </c>
      <c r="H32" s="8">
        <v>1</v>
      </c>
      <c r="I32" s="21">
        <v>13800</v>
      </c>
      <c r="J32" s="21"/>
      <c r="K32" s="22">
        <v>11000</v>
      </c>
      <c r="L32" s="23">
        <v>0.03</v>
      </c>
      <c r="M32" s="22">
        <f t="shared" si="0"/>
        <v>330</v>
      </c>
      <c r="N32" s="8"/>
      <c r="O32" s="8"/>
    </row>
    <row r="33" s="29" customFormat="1" customHeight="1" spans="1:15">
      <c r="A33" s="8">
        <v>27</v>
      </c>
      <c r="B33" s="8"/>
      <c r="C33" s="9" t="s">
        <v>330</v>
      </c>
      <c r="D33" s="13" t="s">
        <v>331</v>
      </c>
      <c r="E33" s="8"/>
      <c r="F33" s="7"/>
      <c r="G33" s="9" t="s">
        <v>332</v>
      </c>
      <c r="H33" s="8">
        <v>1</v>
      </c>
      <c r="I33" s="21">
        <v>4500</v>
      </c>
      <c r="J33" s="21"/>
      <c r="K33" s="22">
        <v>4150</v>
      </c>
      <c r="L33" s="23">
        <v>0.03</v>
      </c>
      <c r="M33" s="22">
        <f t="shared" si="0"/>
        <v>124.5</v>
      </c>
      <c r="N33" s="8"/>
      <c r="O33" s="8"/>
    </row>
    <row r="34" s="29" customFormat="1" customHeight="1" spans="1:15">
      <c r="A34" s="8">
        <v>28</v>
      </c>
      <c r="B34" s="8"/>
      <c r="C34" s="9" t="s">
        <v>333</v>
      </c>
      <c r="D34" s="13" t="s">
        <v>334</v>
      </c>
      <c r="E34" s="8"/>
      <c r="F34" s="7"/>
      <c r="G34" s="9" t="s">
        <v>335</v>
      </c>
      <c r="H34" s="8">
        <v>2</v>
      </c>
      <c r="I34" s="21">
        <v>2600</v>
      </c>
      <c r="J34" s="21"/>
      <c r="K34" s="22">
        <v>2100</v>
      </c>
      <c r="L34" s="23">
        <v>0.03</v>
      </c>
      <c r="M34" s="22">
        <f t="shared" si="0"/>
        <v>63</v>
      </c>
      <c r="N34" s="8"/>
      <c r="O34" s="8"/>
    </row>
    <row r="35" s="29" customFormat="1" customHeight="1" spans="1:15">
      <c r="A35" s="8">
        <v>29</v>
      </c>
      <c r="B35" s="8"/>
      <c r="C35" s="9" t="s">
        <v>336</v>
      </c>
      <c r="D35" s="13" t="s">
        <v>337</v>
      </c>
      <c r="E35" s="8"/>
      <c r="F35" s="7"/>
      <c r="G35" s="9" t="s">
        <v>335</v>
      </c>
      <c r="H35" s="8">
        <v>2</v>
      </c>
      <c r="I35" s="21">
        <v>2400</v>
      </c>
      <c r="J35" s="21"/>
      <c r="K35" s="22">
        <v>1900</v>
      </c>
      <c r="L35" s="23">
        <v>0.03</v>
      </c>
      <c r="M35" s="22">
        <f t="shared" si="0"/>
        <v>57</v>
      </c>
      <c r="N35" s="8"/>
      <c r="O35" s="8"/>
    </row>
    <row r="36" s="29" customFormat="1" customHeight="1" spans="1:15">
      <c r="A36" s="8">
        <v>30</v>
      </c>
      <c r="B36" s="8"/>
      <c r="C36" s="9" t="s">
        <v>338</v>
      </c>
      <c r="D36" s="13" t="s">
        <v>339</v>
      </c>
      <c r="E36" s="8"/>
      <c r="F36" s="7"/>
      <c r="G36" s="9" t="s">
        <v>335</v>
      </c>
      <c r="H36" s="8">
        <v>2</v>
      </c>
      <c r="I36" s="21">
        <f>14500*2</f>
        <v>29000</v>
      </c>
      <c r="J36" s="21"/>
      <c r="K36" s="22">
        <v>23000</v>
      </c>
      <c r="L36" s="23">
        <v>0.03</v>
      </c>
      <c r="M36" s="22">
        <f t="shared" si="0"/>
        <v>690</v>
      </c>
      <c r="N36" s="8"/>
      <c r="O36" s="8"/>
    </row>
    <row r="37" s="29" customFormat="1" customHeight="1" spans="1:15">
      <c r="A37" s="8">
        <v>31</v>
      </c>
      <c r="B37" s="8"/>
      <c r="C37" s="9" t="s">
        <v>340</v>
      </c>
      <c r="D37" s="13" t="s">
        <v>341</v>
      </c>
      <c r="E37" s="8"/>
      <c r="F37" s="7"/>
      <c r="G37" s="9" t="s">
        <v>183</v>
      </c>
      <c r="H37" s="8">
        <v>2</v>
      </c>
      <c r="I37" s="21">
        <f>27500*2</f>
        <v>55000</v>
      </c>
      <c r="J37" s="21"/>
      <c r="K37" s="22">
        <v>44000</v>
      </c>
      <c r="L37" s="23">
        <v>0.03</v>
      </c>
      <c r="M37" s="22">
        <f t="shared" si="0"/>
        <v>1320</v>
      </c>
      <c r="N37" s="8"/>
      <c r="O37" s="8"/>
    </row>
    <row r="38" s="29" customFormat="1" customHeight="1" spans="1:15">
      <c r="A38" s="8">
        <v>32</v>
      </c>
      <c r="B38" s="8"/>
      <c r="C38" s="9" t="s">
        <v>342</v>
      </c>
      <c r="D38" s="13" t="s">
        <v>343</v>
      </c>
      <c r="E38" s="8"/>
      <c r="F38" s="7"/>
      <c r="G38" s="9" t="s">
        <v>183</v>
      </c>
      <c r="H38" s="8">
        <v>2</v>
      </c>
      <c r="I38" s="21">
        <f>5000*2</f>
        <v>10000</v>
      </c>
      <c r="J38" s="21"/>
      <c r="K38" s="22">
        <v>8000</v>
      </c>
      <c r="L38" s="23">
        <v>0.03</v>
      </c>
      <c r="M38" s="22">
        <f t="shared" si="0"/>
        <v>240</v>
      </c>
      <c r="N38" s="8"/>
      <c r="O38" s="8"/>
    </row>
    <row r="39" s="29" customFormat="1" customHeight="1" spans="1:15">
      <c r="A39" s="8">
        <v>33</v>
      </c>
      <c r="B39" s="8"/>
      <c r="C39" s="9" t="s">
        <v>344</v>
      </c>
      <c r="D39" s="13" t="s">
        <v>345</v>
      </c>
      <c r="E39" s="8"/>
      <c r="F39" s="7"/>
      <c r="G39" s="9" t="s">
        <v>183</v>
      </c>
      <c r="H39" s="8">
        <v>1</v>
      </c>
      <c r="I39" s="21">
        <v>13000</v>
      </c>
      <c r="J39" s="21"/>
      <c r="K39" s="22">
        <v>11000</v>
      </c>
      <c r="L39" s="23">
        <v>0.03</v>
      </c>
      <c r="M39" s="22">
        <f t="shared" si="0"/>
        <v>330</v>
      </c>
      <c r="N39" s="8"/>
      <c r="O39" s="8"/>
    </row>
    <row r="40" s="29" customFormat="1" customHeight="1" spans="1:15">
      <c r="A40" s="8">
        <v>34</v>
      </c>
      <c r="B40" s="8"/>
      <c r="C40" s="9" t="s">
        <v>346</v>
      </c>
      <c r="D40" s="13" t="s">
        <v>347</v>
      </c>
      <c r="E40" s="8"/>
      <c r="F40" s="7"/>
      <c r="G40" s="9" t="s">
        <v>183</v>
      </c>
      <c r="H40" s="8">
        <v>1</v>
      </c>
      <c r="I40" s="21">
        <v>5500</v>
      </c>
      <c r="J40" s="21"/>
      <c r="K40" s="22">
        <v>4500</v>
      </c>
      <c r="L40" s="23">
        <v>0.03</v>
      </c>
      <c r="M40" s="22">
        <f t="shared" si="0"/>
        <v>135</v>
      </c>
      <c r="N40" s="8"/>
      <c r="O40" s="8"/>
    </row>
    <row r="41" s="29" customFormat="1" customHeight="1" spans="1:15">
      <c r="A41" s="8">
        <v>35</v>
      </c>
      <c r="B41" s="8"/>
      <c r="C41" s="9" t="s">
        <v>348</v>
      </c>
      <c r="D41" s="13" t="s">
        <v>349</v>
      </c>
      <c r="E41" s="8"/>
      <c r="F41" s="7"/>
      <c r="G41" s="9" t="s">
        <v>183</v>
      </c>
      <c r="H41" s="8">
        <v>1</v>
      </c>
      <c r="I41" s="21">
        <v>11000</v>
      </c>
      <c r="J41" s="21"/>
      <c r="K41" s="22">
        <v>8800</v>
      </c>
      <c r="L41" s="23">
        <v>0.03</v>
      </c>
      <c r="M41" s="22">
        <f t="shared" si="0"/>
        <v>264</v>
      </c>
      <c r="N41" s="8"/>
      <c r="O41" s="8"/>
    </row>
    <row r="42" s="29" customFormat="1" customHeight="1" spans="1:15">
      <c r="A42" s="8">
        <v>36</v>
      </c>
      <c r="B42" s="8"/>
      <c r="C42" s="9" t="s">
        <v>350</v>
      </c>
      <c r="D42" s="13" t="s">
        <v>351</v>
      </c>
      <c r="E42" s="8"/>
      <c r="F42" s="7"/>
      <c r="G42" s="9" t="s">
        <v>183</v>
      </c>
      <c r="H42" s="8">
        <v>7</v>
      </c>
      <c r="I42" s="21">
        <f>1600*7</f>
        <v>11200</v>
      </c>
      <c r="J42" s="21"/>
      <c r="K42" s="22">
        <v>8960</v>
      </c>
      <c r="L42" s="23">
        <v>0.03</v>
      </c>
      <c r="M42" s="22">
        <f t="shared" si="0"/>
        <v>268.8</v>
      </c>
      <c r="N42" s="8"/>
      <c r="O42" s="8"/>
    </row>
    <row r="43" s="29" customFormat="1" customHeight="1" spans="1:15">
      <c r="A43" s="8">
        <v>37</v>
      </c>
      <c r="B43" s="8"/>
      <c r="C43" s="9" t="s">
        <v>352</v>
      </c>
      <c r="D43" s="13" t="s">
        <v>353</v>
      </c>
      <c r="E43" s="8"/>
      <c r="F43" s="7"/>
      <c r="G43" s="9" t="s">
        <v>183</v>
      </c>
      <c r="H43" s="8">
        <v>2</v>
      </c>
      <c r="I43" s="21">
        <f>13500*2</f>
        <v>27000</v>
      </c>
      <c r="J43" s="21"/>
      <c r="K43" s="22">
        <v>21600</v>
      </c>
      <c r="L43" s="23">
        <v>0.03</v>
      </c>
      <c r="M43" s="22">
        <f t="shared" si="0"/>
        <v>648</v>
      </c>
      <c r="N43" s="8"/>
      <c r="O43" s="8"/>
    </row>
    <row r="44" s="29" customFormat="1" customHeight="1" spans="1:15">
      <c r="A44" s="8">
        <v>38</v>
      </c>
      <c r="B44" s="8"/>
      <c r="C44" s="9" t="s">
        <v>354</v>
      </c>
      <c r="D44" s="13" t="s">
        <v>355</v>
      </c>
      <c r="E44" s="8"/>
      <c r="F44" s="7"/>
      <c r="G44" s="9" t="s">
        <v>183</v>
      </c>
      <c r="H44" s="8">
        <v>6</v>
      </c>
      <c r="I44" s="21">
        <f>2500*6</f>
        <v>15000</v>
      </c>
      <c r="J44" s="21"/>
      <c r="K44" s="22">
        <v>12000</v>
      </c>
      <c r="L44" s="23">
        <v>0.03</v>
      </c>
      <c r="M44" s="22">
        <f t="shared" si="0"/>
        <v>360</v>
      </c>
      <c r="N44" s="8"/>
      <c r="O44" s="8"/>
    </row>
    <row r="45" s="29" customFormat="1" customHeight="1" spans="1:15">
      <c r="A45" s="8">
        <v>39</v>
      </c>
      <c r="B45" s="8"/>
      <c r="C45" s="9" t="s">
        <v>356</v>
      </c>
      <c r="D45" s="13" t="s">
        <v>357</v>
      </c>
      <c r="E45" s="8"/>
      <c r="F45" s="7"/>
      <c r="G45" s="9" t="s">
        <v>183</v>
      </c>
      <c r="H45" s="8">
        <v>6</v>
      </c>
      <c r="I45" s="21">
        <f>1900*6</f>
        <v>11400</v>
      </c>
      <c r="J45" s="21"/>
      <c r="K45" s="22">
        <v>9200</v>
      </c>
      <c r="L45" s="23">
        <v>0.03</v>
      </c>
      <c r="M45" s="22">
        <f t="shared" si="0"/>
        <v>276</v>
      </c>
      <c r="N45" s="8"/>
      <c r="O45" s="8"/>
    </row>
    <row r="46" s="29" customFormat="1" customHeight="1" spans="1:15">
      <c r="A46" s="8">
        <v>40</v>
      </c>
      <c r="B46" s="8"/>
      <c r="C46" s="9" t="s">
        <v>358</v>
      </c>
      <c r="D46" s="13" t="s">
        <v>77</v>
      </c>
      <c r="E46" s="8"/>
      <c r="F46" s="7"/>
      <c r="G46" s="9" t="s">
        <v>183</v>
      </c>
      <c r="H46" s="8">
        <v>1</v>
      </c>
      <c r="I46" s="21">
        <v>8000</v>
      </c>
      <c r="J46" s="21"/>
      <c r="K46" s="22">
        <f t="shared" ref="K46:K48" si="1">I46*0.8</f>
        <v>6400</v>
      </c>
      <c r="L46" s="23">
        <v>0.03</v>
      </c>
      <c r="M46" s="22">
        <f t="shared" si="0"/>
        <v>192</v>
      </c>
      <c r="N46" s="8"/>
      <c r="O46" s="8"/>
    </row>
    <row r="47" s="29" customFormat="1" customHeight="1" spans="1:15">
      <c r="A47" s="8">
        <v>41</v>
      </c>
      <c r="B47" s="8"/>
      <c r="C47" s="9" t="s">
        <v>359</v>
      </c>
      <c r="D47" s="13" t="s">
        <v>360</v>
      </c>
      <c r="E47" s="8"/>
      <c r="F47" s="7"/>
      <c r="G47" s="9" t="s">
        <v>183</v>
      </c>
      <c r="H47" s="8">
        <v>2</v>
      </c>
      <c r="I47" s="21">
        <f>5500*2</f>
        <v>11000</v>
      </c>
      <c r="J47" s="21"/>
      <c r="K47" s="22">
        <f t="shared" si="1"/>
        <v>8800</v>
      </c>
      <c r="L47" s="23">
        <v>0.03</v>
      </c>
      <c r="M47" s="22">
        <f t="shared" si="0"/>
        <v>264</v>
      </c>
      <c r="N47" s="8"/>
      <c r="O47" s="8"/>
    </row>
    <row r="48" s="29" customFormat="1" customHeight="1" spans="1:15">
      <c r="A48" s="8">
        <v>42</v>
      </c>
      <c r="B48" s="8"/>
      <c r="C48" s="9" t="s">
        <v>361</v>
      </c>
      <c r="D48" s="13" t="s">
        <v>362</v>
      </c>
      <c r="E48" s="8"/>
      <c r="F48" s="7"/>
      <c r="G48" s="9" t="s">
        <v>183</v>
      </c>
      <c r="H48" s="8">
        <v>2</v>
      </c>
      <c r="I48" s="21">
        <f>7500*2</f>
        <v>15000</v>
      </c>
      <c r="J48" s="21"/>
      <c r="K48" s="22">
        <f t="shared" si="1"/>
        <v>12000</v>
      </c>
      <c r="L48" s="23">
        <v>0.03</v>
      </c>
      <c r="M48" s="22">
        <f t="shared" si="0"/>
        <v>360</v>
      </c>
      <c r="N48" s="8"/>
      <c r="O48" s="8"/>
    </row>
    <row r="49" s="29" customFormat="1" customHeight="1" spans="1:15">
      <c r="A49" s="8">
        <v>43</v>
      </c>
      <c r="B49" s="8"/>
      <c r="C49" s="9" t="s">
        <v>363</v>
      </c>
      <c r="D49" s="13" t="s">
        <v>77</v>
      </c>
      <c r="E49" s="8"/>
      <c r="F49" s="7"/>
      <c r="G49" s="9" t="s">
        <v>72</v>
      </c>
      <c r="H49" s="8">
        <v>2</v>
      </c>
      <c r="I49" s="21">
        <v>1620</v>
      </c>
      <c r="J49" s="21"/>
      <c r="K49" s="22">
        <v>1100</v>
      </c>
      <c r="L49" s="23">
        <v>0.01</v>
      </c>
      <c r="M49" s="22">
        <f t="shared" si="0"/>
        <v>11</v>
      </c>
      <c r="N49" s="8"/>
      <c r="O49" s="8" t="s">
        <v>140</v>
      </c>
    </row>
    <row r="50" s="29" customFormat="1" customHeight="1" spans="1:15">
      <c r="A50" s="8">
        <v>44</v>
      </c>
      <c r="B50" s="8"/>
      <c r="C50" s="9" t="s">
        <v>364</v>
      </c>
      <c r="D50" s="13" t="s">
        <v>77</v>
      </c>
      <c r="E50" s="8"/>
      <c r="F50" s="7"/>
      <c r="G50" s="9" t="s">
        <v>72</v>
      </c>
      <c r="H50" s="8">
        <v>2</v>
      </c>
      <c r="I50" s="21">
        <v>1320</v>
      </c>
      <c r="J50" s="21"/>
      <c r="K50" s="22">
        <v>900</v>
      </c>
      <c r="L50" s="23">
        <v>0.01</v>
      </c>
      <c r="M50" s="22">
        <f t="shared" si="0"/>
        <v>9</v>
      </c>
      <c r="N50" s="8"/>
      <c r="O50" s="8" t="s">
        <v>140</v>
      </c>
    </row>
    <row r="51" s="29" customFormat="1" customHeight="1" spans="1:15">
      <c r="A51" s="8">
        <v>45</v>
      </c>
      <c r="B51" s="37"/>
      <c r="C51" s="9" t="s">
        <v>365</v>
      </c>
      <c r="D51" s="13" t="s">
        <v>366</v>
      </c>
      <c r="E51" s="8"/>
      <c r="F51" s="7"/>
      <c r="G51" s="9" t="s">
        <v>367</v>
      </c>
      <c r="H51" s="8">
        <v>1</v>
      </c>
      <c r="I51" s="21">
        <v>1580</v>
      </c>
      <c r="J51" s="21"/>
      <c r="K51" s="22">
        <v>900</v>
      </c>
      <c r="L51" s="23">
        <v>0.02</v>
      </c>
      <c r="M51" s="22">
        <f t="shared" si="0"/>
        <v>18</v>
      </c>
      <c r="N51" s="8"/>
      <c r="O51" s="8"/>
    </row>
    <row r="52" customHeight="1" spans="1:15">
      <c r="A52" s="17" t="s">
        <v>368</v>
      </c>
      <c r="B52" s="19"/>
      <c r="C52" s="19"/>
      <c r="D52" s="19"/>
      <c r="E52" s="19"/>
      <c r="F52" s="19"/>
      <c r="G52" s="18"/>
      <c r="H52" s="38"/>
      <c r="I52" s="48">
        <f t="shared" ref="I52:M52" si="2">SUM(I7:I51)</f>
        <v>936800</v>
      </c>
      <c r="J52" s="49"/>
      <c r="K52" s="26">
        <f t="shared" si="2"/>
        <v>751410</v>
      </c>
      <c r="L52" s="11"/>
      <c r="M52" s="26">
        <f t="shared" si="2"/>
        <v>23301.3</v>
      </c>
      <c r="N52" s="38"/>
      <c r="O52" s="38"/>
    </row>
    <row r="53" customHeight="1" spans="1:15">
      <c r="A53" s="3" t="s">
        <v>273</v>
      </c>
      <c r="H53" s="3" t="s">
        <v>274</v>
      </c>
      <c r="M53" s="50" t="s">
        <v>275</v>
      </c>
      <c r="N53" s="28"/>
      <c r="O53" s="28"/>
    </row>
  </sheetData>
  <autoFilter ref="A6:O53">
    <extLst/>
  </autoFilter>
  <mergeCells count="10">
    <mergeCell ref="A2:O2"/>
    <mergeCell ref="A3:O3"/>
    <mergeCell ref="I5:J5"/>
    <mergeCell ref="K5:M5"/>
    <mergeCell ref="A52:G52"/>
    <mergeCell ref="M53:O53"/>
    <mergeCell ref="C5:C6"/>
    <mergeCell ref="D5:D6"/>
    <mergeCell ref="H5:H6"/>
    <mergeCell ref="O5:O6"/>
  </mergeCells>
  <printOptions horizontalCentered="1"/>
  <pageMargins left="0.35" right="0" top="0.59" bottom="0.59" header="0.51" footer="0.51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16"/>
  <sheetViews>
    <sheetView zoomScale="85" zoomScaleNormal="85" zoomScaleSheetLayoutView="60" workbookViewId="0">
      <selection activeCell="J35" sqref="J35"/>
    </sheetView>
  </sheetViews>
  <sheetFormatPr defaultColWidth="9" defaultRowHeight="20.4" customHeight="1"/>
  <cols>
    <col min="1" max="1" width="2.6" style="3" customWidth="1"/>
    <col min="2" max="2" width="5.9" style="3" customWidth="1"/>
    <col min="3" max="3" width="12.6416666666667" style="3" customWidth="1"/>
    <col min="4" max="4" width="10.6" style="3" customWidth="1"/>
    <col min="5" max="5" width="4.9" style="3" customWidth="1"/>
    <col min="6" max="6" width="3.7" style="3" customWidth="1"/>
    <col min="7" max="7" width="11.4666666666667" style="3" customWidth="1"/>
    <col min="8" max="8" width="5.5" style="3" customWidth="1"/>
    <col min="9" max="10" width="9.6" style="3" customWidth="1"/>
    <col min="11" max="11" width="11.6583333333333" style="3" customWidth="1"/>
    <col min="12" max="12" width="7.54166666666667" style="3" customWidth="1"/>
    <col min="13" max="13" width="11.6" style="3" customWidth="1"/>
    <col min="14" max="14" width="3.6" style="3" customWidth="1"/>
    <col min="15" max="15" width="14.6" style="3" customWidth="1"/>
    <col min="16" max="254" width="9" style="3" customWidth="1"/>
  </cols>
  <sheetData>
    <row r="1" customHeight="1" spans="1:1">
      <c r="A1" s="3" t="s">
        <v>22</v>
      </c>
    </row>
    <row r="2" customHeight="1" spans="1:15">
      <c r="A2" s="4" t="s">
        <v>23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customHeight="1" spans="1:1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customHeight="1" spans="1:14">
      <c r="A4" s="3" t="s">
        <v>369</v>
      </c>
      <c r="N4" s="3" t="s">
        <v>26</v>
      </c>
    </row>
    <row r="5" s="1" customFormat="1" customHeight="1" spans="1:15">
      <c r="A5" s="5" t="s">
        <v>27</v>
      </c>
      <c r="B5" s="5" t="s">
        <v>28</v>
      </c>
      <c r="C5" s="5" t="s">
        <v>29</v>
      </c>
      <c r="D5" s="5" t="s">
        <v>30</v>
      </c>
      <c r="E5" s="5" t="s">
        <v>31</v>
      </c>
      <c r="F5" s="5" t="s">
        <v>32</v>
      </c>
      <c r="G5" s="5" t="s">
        <v>33</v>
      </c>
      <c r="H5" s="5" t="s">
        <v>34</v>
      </c>
      <c r="I5" s="17" t="s">
        <v>6</v>
      </c>
      <c r="J5" s="18"/>
      <c r="K5" s="17" t="s">
        <v>7</v>
      </c>
      <c r="L5" s="19"/>
      <c r="M5" s="18"/>
      <c r="N5" s="5" t="s">
        <v>35</v>
      </c>
      <c r="O5" s="5" t="s">
        <v>36</v>
      </c>
    </row>
    <row r="6" s="1" customFormat="1" customHeight="1" spans="1:15">
      <c r="A6" s="6" t="s">
        <v>37</v>
      </c>
      <c r="B6" s="6" t="s">
        <v>38</v>
      </c>
      <c r="C6" s="6"/>
      <c r="D6" s="6"/>
      <c r="E6" s="6" t="s">
        <v>39</v>
      </c>
      <c r="F6" s="6" t="s">
        <v>40</v>
      </c>
      <c r="G6" s="6" t="s">
        <v>41</v>
      </c>
      <c r="H6" s="6"/>
      <c r="I6" s="20" t="s">
        <v>42</v>
      </c>
      <c r="J6" s="20" t="s">
        <v>43</v>
      </c>
      <c r="K6" s="20" t="s">
        <v>42</v>
      </c>
      <c r="L6" s="20" t="s">
        <v>44</v>
      </c>
      <c r="M6" s="20" t="s">
        <v>43</v>
      </c>
      <c r="N6" s="6" t="s">
        <v>45</v>
      </c>
      <c r="O6" s="6"/>
    </row>
    <row r="7" s="2" customFormat="1" customHeight="1" spans="1:254">
      <c r="A7" s="7">
        <v>1</v>
      </c>
      <c r="B7" s="8"/>
      <c r="C7" s="9" t="s">
        <v>370</v>
      </c>
      <c r="D7" s="10"/>
      <c r="E7" s="7"/>
      <c r="F7" s="7" t="s">
        <v>371</v>
      </c>
      <c r="G7" s="10" t="s">
        <v>372</v>
      </c>
      <c r="H7" s="7">
        <v>28</v>
      </c>
      <c r="I7" s="21">
        <f>H7*260</f>
        <v>7280</v>
      </c>
      <c r="J7" s="21"/>
      <c r="K7" s="22">
        <f>200*H7</f>
        <v>5600</v>
      </c>
      <c r="L7" s="23">
        <v>0.08</v>
      </c>
      <c r="M7" s="8">
        <f t="shared" ref="M7:M14" si="0">K7*L7</f>
        <v>448</v>
      </c>
      <c r="N7" s="8"/>
      <c r="O7" s="8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</row>
    <row r="8" s="2" customFormat="1" customHeight="1" spans="1:254">
      <c r="A8" s="7">
        <v>2</v>
      </c>
      <c r="B8" s="8"/>
      <c r="C8" s="9" t="s">
        <v>373</v>
      </c>
      <c r="D8" s="10"/>
      <c r="E8" s="8"/>
      <c r="F8" s="7" t="s">
        <v>371</v>
      </c>
      <c r="G8" s="10" t="s">
        <v>67</v>
      </c>
      <c r="H8" s="7">
        <v>9</v>
      </c>
      <c r="I8" s="21">
        <v>3600</v>
      </c>
      <c r="J8" s="21"/>
      <c r="K8" s="22">
        <f>H8*300</f>
        <v>2700</v>
      </c>
      <c r="L8" s="23">
        <v>0.05</v>
      </c>
      <c r="M8" s="8">
        <f t="shared" si="0"/>
        <v>135</v>
      </c>
      <c r="N8" s="8"/>
      <c r="O8" s="8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</row>
    <row r="9" customHeight="1" spans="1:15">
      <c r="A9" s="7">
        <v>3</v>
      </c>
      <c r="B9" s="11"/>
      <c r="C9" s="9" t="s">
        <v>370</v>
      </c>
      <c r="D9" s="10"/>
      <c r="E9" s="11"/>
      <c r="F9" s="12" t="s">
        <v>371</v>
      </c>
      <c r="G9" s="10" t="s">
        <v>48</v>
      </c>
      <c r="H9" s="12">
        <v>6</v>
      </c>
      <c r="I9" s="25">
        <v>3600</v>
      </c>
      <c r="J9" s="25"/>
      <c r="K9" s="26">
        <f>500*6</f>
        <v>3000</v>
      </c>
      <c r="L9" s="27">
        <v>0.1</v>
      </c>
      <c r="M9" s="8">
        <f t="shared" si="0"/>
        <v>300</v>
      </c>
      <c r="N9" s="11"/>
      <c r="O9" s="11"/>
    </row>
    <row r="10" s="2" customFormat="1" customHeight="1" spans="1:254">
      <c r="A10" s="7">
        <v>4</v>
      </c>
      <c r="B10" s="8"/>
      <c r="C10" s="9" t="s">
        <v>374</v>
      </c>
      <c r="D10" s="10"/>
      <c r="E10" s="8"/>
      <c r="F10" s="7" t="s">
        <v>375</v>
      </c>
      <c r="G10" s="10" t="s">
        <v>376</v>
      </c>
      <c r="H10" s="7">
        <v>1</v>
      </c>
      <c r="I10" s="21">
        <v>520</v>
      </c>
      <c r="J10" s="21"/>
      <c r="K10" s="22">
        <v>400</v>
      </c>
      <c r="L10" s="27"/>
      <c r="M10" s="8">
        <f t="shared" si="0"/>
        <v>0</v>
      </c>
      <c r="N10" s="8"/>
      <c r="O10" s="8" t="s">
        <v>140</v>
      </c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</row>
    <row r="11" customHeight="1" spans="1:15">
      <c r="A11" s="7">
        <v>5</v>
      </c>
      <c r="B11" s="11"/>
      <c r="C11" s="9" t="s">
        <v>377</v>
      </c>
      <c r="D11" s="8"/>
      <c r="E11" s="8"/>
      <c r="F11" s="7" t="s">
        <v>378</v>
      </c>
      <c r="G11" s="10" t="s">
        <v>379</v>
      </c>
      <c r="H11" s="7">
        <v>1</v>
      </c>
      <c r="I11" s="21">
        <v>560</v>
      </c>
      <c r="J11" s="21"/>
      <c r="K11" s="26">
        <v>260</v>
      </c>
      <c r="L11" s="11"/>
      <c r="M11" s="8">
        <f t="shared" si="0"/>
        <v>0</v>
      </c>
      <c r="N11" s="11"/>
      <c r="O11" s="11" t="s">
        <v>140</v>
      </c>
    </row>
    <row r="12" customHeight="1" spans="1:15">
      <c r="A12" s="7">
        <v>6</v>
      </c>
      <c r="B12" s="11"/>
      <c r="C12" s="9" t="s">
        <v>380</v>
      </c>
      <c r="D12" s="10" t="s">
        <v>381</v>
      </c>
      <c r="E12" s="8"/>
      <c r="F12" s="7" t="s">
        <v>382</v>
      </c>
      <c r="G12" s="10" t="s">
        <v>93</v>
      </c>
      <c r="H12" s="7">
        <v>1</v>
      </c>
      <c r="I12" s="21">
        <v>850</v>
      </c>
      <c r="J12" s="21"/>
      <c r="K12" s="26">
        <v>600</v>
      </c>
      <c r="L12" s="27">
        <v>0.02</v>
      </c>
      <c r="M12" s="8">
        <f t="shared" si="0"/>
        <v>12</v>
      </c>
      <c r="N12" s="11"/>
      <c r="O12" s="11"/>
    </row>
    <row r="13" customHeight="1" spans="1:15">
      <c r="A13" s="7">
        <v>7</v>
      </c>
      <c r="B13" s="11"/>
      <c r="C13" s="9" t="s">
        <v>383</v>
      </c>
      <c r="D13" s="10" t="s">
        <v>384</v>
      </c>
      <c r="E13" s="8"/>
      <c r="F13" s="7" t="s">
        <v>382</v>
      </c>
      <c r="G13" s="10" t="s">
        <v>385</v>
      </c>
      <c r="H13" s="7">
        <v>1</v>
      </c>
      <c r="I13" s="21">
        <v>1000</v>
      </c>
      <c r="J13" s="21"/>
      <c r="K13" s="26">
        <v>900</v>
      </c>
      <c r="L13" s="27">
        <v>0.03</v>
      </c>
      <c r="M13" s="8">
        <f t="shared" si="0"/>
        <v>27</v>
      </c>
      <c r="N13" s="11"/>
      <c r="O13" s="11"/>
    </row>
    <row r="14" customHeight="1" spans="1:15">
      <c r="A14" s="7">
        <v>8</v>
      </c>
      <c r="B14" s="11"/>
      <c r="C14" s="9" t="s">
        <v>386</v>
      </c>
      <c r="D14" s="13" t="s">
        <v>387</v>
      </c>
      <c r="E14" s="11"/>
      <c r="F14" s="12" t="s">
        <v>388</v>
      </c>
      <c r="G14" s="9" t="s">
        <v>58</v>
      </c>
      <c r="H14" s="7">
        <v>1</v>
      </c>
      <c r="I14" s="21">
        <v>2300</v>
      </c>
      <c r="J14" s="25"/>
      <c r="K14" s="26">
        <v>1500</v>
      </c>
      <c r="L14" s="27">
        <v>0.02</v>
      </c>
      <c r="M14" s="8">
        <f t="shared" si="0"/>
        <v>30</v>
      </c>
      <c r="N14" s="11"/>
      <c r="O14" s="11"/>
    </row>
    <row r="15" customHeight="1" spans="1:15">
      <c r="A15" s="14" t="s">
        <v>368</v>
      </c>
      <c r="B15" s="15"/>
      <c r="C15" s="15"/>
      <c r="D15" s="15"/>
      <c r="E15" s="15"/>
      <c r="F15" s="15"/>
      <c r="G15" s="16"/>
      <c r="H15" s="11"/>
      <c r="I15" s="21">
        <f t="shared" ref="I15:M15" si="1">SUM(I7:I14)</f>
        <v>19710</v>
      </c>
      <c r="J15" s="25"/>
      <c r="K15" s="26">
        <f t="shared" si="1"/>
        <v>14960</v>
      </c>
      <c r="L15" s="11"/>
      <c r="M15" s="11">
        <f t="shared" si="1"/>
        <v>952</v>
      </c>
      <c r="N15" s="11"/>
      <c r="O15" s="11"/>
    </row>
    <row r="16" customHeight="1" spans="1:15">
      <c r="A16" s="3" t="s">
        <v>273</v>
      </c>
      <c r="H16" s="3" t="s">
        <v>274</v>
      </c>
      <c r="M16" s="28" t="s">
        <v>275</v>
      </c>
      <c r="N16" s="28"/>
      <c r="O16" s="28"/>
    </row>
  </sheetData>
  <mergeCells count="10">
    <mergeCell ref="A2:O2"/>
    <mergeCell ref="A3:O3"/>
    <mergeCell ref="I5:J5"/>
    <mergeCell ref="K5:M5"/>
    <mergeCell ref="A15:G15"/>
    <mergeCell ref="M16:O16"/>
    <mergeCell ref="C5:C6"/>
    <mergeCell ref="D5:D6"/>
    <mergeCell ref="H5:H6"/>
    <mergeCell ref="O5:O6"/>
  </mergeCells>
  <printOptions horizontalCentered="1"/>
  <pageMargins left="0.35" right="0" top="0.59" bottom="0.59" header="0.51" footer="0.5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电子设备 </vt:lpstr>
      <vt:lpstr>机器设备</vt:lpstr>
      <vt:lpstr>家具用具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2021-06-22T01:20:00Z</dcterms:created>
  <dcterms:modified xsi:type="dcterms:W3CDTF">2021-06-30T03:00:01Z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0637BC224A504D34A2CDE065A19DF9F0</vt:lpwstr>
  </property>
  <property fmtid="{D5CDD505-2E9C-101B-9397-08002B2CF9AE}" pid="3" name="KSOProductBuildVer">
    <vt:lpwstr>2052-11.1.0.10495</vt:lpwstr>
  </property>
</Properties>
</file>